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0" windowHeight="12330" firstSheet="8" activeTab="8"/>
  </bookViews>
  <sheets>
    <sheet name="Littlemore" sheetId="1" r:id="rId1"/>
    <sheet name="Old Marston" sheetId="2" r:id="rId2"/>
    <sheet name="Risinghurst &amp; S" sheetId="3" r:id="rId3"/>
    <sheet name="Blackbird Leys" sheetId="4" r:id="rId4"/>
    <sheet name="OXFORD CITY COUNCIL" sheetId="5" r:id="rId5"/>
    <sheet name="Unparished area" sheetId="6" r:id="rId6"/>
    <sheet name="Tax Bases" sheetId="7" state="hidden" r:id="rId7"/>
    <sheet name="Appendices 1 and 2 for report" sheetId="8" state="hidden" r:id="rId8"/>
    <sheet name="Appendix 1 " sheetId="12" r:id="rId9"/>
    <sheet name="Appendices 1 and 2 151114" sheetId="9" state="hidden" r:id="rId10"/>
    <sheet name="Appendices 1 and 2 221114" sheetId="10" state="hidden" r:id="rId11"/>
    <sheet name="Appendices 1 and 2 291114" sheetId="13" state="hidden" r:id="rId12"/>
    <sheet name="NEW FORMAT 221114" sheetId="11" state="hidden" r:id="rId13"/>
  </sheets>
  <calcPr calcId="145621"/>
</workbook>
</file>

<file path=xl/calcChain.xml><?xml version="1.0" encoding="utf-8"?>
<calcChain xmlns="http://schemas.openxmlformats.org/spreadsheetml/2006/main">
  <c r="K4" i="12" l="1"/>
  <c r="O150" i="8" l="1"/>
  <c r="G46" i="7"/>
  <c r="G44" i="7"/>
  <c r="G43" i="7"/>
  <c r="G42" i="7"/>
  <c r="G41" i="7"/>
  <c r="G39" i="7"/>
  <c r="I46" i="7"/>
  <c r="I44" i="7"/>
  <c r="I43" i="7"/>
  <c r="I42" i="7"/>
  <c r="I41" i="7"/>
  <c r="I39" i="7"/>
  <c r="J143" i="13"/>
  <c r="I143" i="13"/>
  <c r="H143" i="13"/>
  <c r="G143" i="13"/>
  <c r="F143" i="13"/>
  <c r="E143" i="13"/>
  <c r="D143" i="13"/>
  <c r="C143" i="13"/>
  <c r="K143" i="13" s="1"/>
  <c r="B143" i="13"/>
  <c r="B141" i="13"/>
  <c r="B140" i="13"/>
  <c r="I139" i="13"/>
  <c r="H139" i="13"/>
  <c r="G139" i="13"/>
  <c r="F139" i="13"/>
  <c r="E139" i="13"/>
  <c r="D139" i="13"/>
  <c r="C139" i="13"/>
  <c r="B139" i="13"/>
  <c r="I137" i="13"/>
  <c r="G137" i="13"/>
  <c r="E137" i="13"/>
  <c r="C137" i="13"/>
  <c r="J136" i="13"/>
  <c r="I136" i="13"/>
  <c r="H137" i="13" s="1"/>
  <c r="H136" i="13"/>
  <c r="G136" i="13"/>
  <c r="F137" i="13" s="1"/>
  <c r="F136" i="13"/>
  <c r="E136" i="13"/>
  <c r="D137" i="13" s="1"/>
  <c r="D136" i="13"/>
  <c r="C136" i="13"/>
  <c r="B137" i="13" s="1"/>
  <c r="K137" i="13" s="1"/>
  <c r="J134" i="13"/>
  <c r="I134" i="13"/>
  <c r="H134" i="13"/>
  <c r="G134" i="13"/>
  <c r="F134" i="13"/>
  <c r="E134" i="13"/>
  <c r="D134" i="13"/>
  <c r="C134" i="13"/>
  <c r="K134" i="13" s="1"/>
  <c r="J132" i="13"/>
  <c r="J142" i="13" s="1"/>
  <c r="I132" i="13"/>
  <c r="I142" i="13" s="1"/>
  <c r="H132" i="13"/>
  <c r="H142" i="13" s="1"/>
  <c r="G132" i="13"/>
  <c r="G142" i="13" s="1"/>
  <c r="F132" i="13"/>
  <c r="F142" i="13" s="1"/>
  <c r="E132" i="13"/>
  <c r="E142" i="13" s="1"/>
  <c r="D132" i="13"/>
  <c r="D142" i="13" s="1"/>
  <c r="C132" i="13"/>
  <c r="C142" i="13" s="1"/>
  <c r="K142" i="13" s="1"/>
  <c r="J131" i="13"/>
  <c r="I131" i="13"/>
  <c r="H131" i="13"/>
  <c r="G131" i="13"/>
  <c r="F131" i="13"/>
  <c r="E131" i="13"/>
  <c r="D131" i="13"/>
  <c r="C131" i="13"/>
  <c r="K131" i="13" s="1"/>
  <c r="J130" i="13"/>
  <c r="I130" i="13"/>
  <c r="H130" i="13"/>
  <c r="G130" i="13"/>
  <c r="F130" i="13"/>
  <c r="E130" i="13"/>
  <c r="D130" i="13"/>
  <c r="C130" i="13"/>
  <c r="K118" i="13"/>
  <c r="U117" i="13"/>
  <c r="J116" i="13" s="1"/>
  <c r="T117" i="13"/>
  <c r="S117" i="13"/>
  <c r="H116" i="13" s="1"/>
  <c r="R117" i="13"/>
  <c r="Q117" i="13"/>
  <c r="F116" i="13" s="1"/>
  <c r="P117" i="13"/>
  <c r="O117" i="13"/>
  <c r="D116" i="13" s="1"/>
  <c r="N117" i="13"/>
  <c r="J117" i="13"/>
  <c r="I117" i="13"/>
  <c r="H117" i="13"/>
  <c r="G117" i="13"/>
  <c r="F117" i="13"/>
  <c r="E117" i="13"/>
  <c r="D117" i="13"/>
  <c r="C117" i="13"/>
  <c r="K117" i="13" s="1"/>
  <c r="V116" i="13"/>
  <c r="I116" i="13"/>
  <c r="G116" i="13"/>
  <c r="E116" i="13"/>
  <c r="C116" i="13"/>
  <c r="K116" i="13" s="1"/>
  <c r="V115" i="13"/>
  <c r="J115" i="13"/>
  <c r="I115" i="13"/>
  <c r="H115" i="13"/>
  <c r="G115" i="13"/>
  <c r="F115" i="13"/>
  <c r="E115" i="13"/>
  <c r="D115" i="13"/>
  <c r="C115" i="13"/>
  <c r="K114" i="13"/>
  <c r="I112" i="13"/>
  <c r="H112" i="13"/>
  <c r="G112" i="13"/>
  <c r="F112" i="13"/>
  <c r="E112" i="13"/>
  <c r="D112" i="13"/>
  <c r="C112" i="13"/>
  <c r="B112" i="13"/>
  <c r="B113" i="13" s="1"/>
  <c r="B119" i="13" s="1"/>
  <c r="B120" i="13" s="1"/>
  <c r="K111" i="13"/>
  <c r="I110" i="13"/>
  <c r="I113" i="13" s="1"/>
  <c r="I119" i="13" s="1"/>
  <c r="E110" i="13"/>
  <c r="E113" i="13" s="1"/>
  <c r="E119" i="13" s="1"/>
  <c r="U109" i="13"/>
  <c r="T109" i="13"/>
  <c r="I108" i="13" s="1"/>
  <c r="S109" i="13"/>
  <c r="R109" i="13"/>
  <c r="G108" i="13" s="1"/>
  <c r="G110" i="13" s="1"/>
  <c r="G113" i="13" s="1"/>
  <c r="G119" i="13" s="1"/>
  <c r="Q109" i="13"/>
  <c r="P109" i="13"/>
  <c r="E108" i="13" s="1"/>
  <c r="O109" i="13"/>
  <c r="N109" i="13"/>
  <c r="K109" i="13"/>
  <c r="V108" i="13"/>
  <c r="J108" i="13"/>
  <c r="J110" i="13" s="1"/>
  <c r="J113" i="13" s="1"/>
  <c r="J119" i="13" s="1"/>
  <c r="J120" i="13" s="1"/>
  <c r="J123" i="13" s="1"/>
  <c r="H108" i="13"/>
  <c r="H110" i="13" s="1"/>
  <c r="H113" i="13" s="1"/>
  <c r="H119" i="13" s="1"/>
  <c r="F108" i="13"/>
  <c r="F110" i="13" s="1"/>
  <c r="F113" i="13" s="1"/>
  <c r="F119" i="13" s="1"/>
  <c r="F120" i="13" s="1"/>
  <c r="F123" i="13" s="1"/>
  <c r="D108" i="13"/>
  <c r="D110" i="13" s="1"/>
  <c r="D113" i="13" s="1"/>
  <c r="D119" i="13" s="1"/>
  <c r="C108" i="13"/>
  <c r="K108" i="13" s="1"/>
  <c r="V107" i="13"/>
  <c r="K107" i="13"/>
  <c r="K106" i="13"/>
  <c r="K105" i="13"/>
  <c r="K110" i="13" s="1"/>
  <c r="K93" i="13"/>
  <c r="U92" i="13"/>
  <c r="T92" i="13"/>
  <c r="S92" i="13"/>
  <c r="R92" i="13"/>
  <c r="Q92" i="13"/>
  <c r="P92" i="13"/>
  <c r="O92" i="13"/>
  <c r="N92" i="13"/>
  <c r="J92" i="13"/>
  <c r="I92" i="13"/>
  <c r="H92" i="13"/>
  <c r="G92" i="13"/>
  <c r="F92" i="13"/>
  <c r="E92" i="13"/>
  <c r="D92" i="13"/>
  <c r="C92" i="13"/>
  <c r="K92" i="13" s="1"/>
  <c r="V91" i="13"/>
  <c r="J91" i="13"/>
  <c r="I91" i="13"/>
  <c r="H91" i="13"/>
  <c r="G91" i="13"/>
  <c r="F91" i="13"/>
  <c r="E91" i="13"/>
  <c r="D91" i="13"/>
  <c r="C91" i="13"/>
  <c r="K91" i="13" s="1"/>
  <c r="V90" i="13"/>
  <c r="J90" i="13"/>
  <c r="I90" i="13"/>
  <c r="H90" i="13"/>
  <c r="H95" i="13" s="1"/>
  <c r="H98" i="13" s="1"/>
  <c r="G90" i="13"/>
  <c r="F90" i="13"/>
  <c r="F95" i="13" s="1"/>
  <c r="F98" i="13" s="1"/>
  <c r="E90" i="13"/>
  <c r="D90" i="13"/>
  <c r="D95" i="13" s="1"/>
  <c r="D98" i="13" s="1"/>
  <c r="C90" i="13"/>
  <c r="K89" i="13"/>
  <c r="J89" i="13"/>
  <c r="J139" i="13" s="1"/>
  <c r="I87" i="13"/>
  <c r="H87" i="13"/>
  <c r="G87" i="13"/>
  <c r="F87" i="13"/>
  <c r="E87" i="13"/>
  <c r="D87" i="13"/>
  <c r="C87" i="13"/>
  <c r="B87" i="13"/>
  <c r="K87" i="13" s="1"/>
  <c r="K86" i="13"/>
  <c r="U84" i="13"/>
  <c r="T84" i="13"/>
  <c r="S84" i="13"/>
  <c r="R84" i="13"/>
  <c r="Q84" i="13"/>
  <c r="P84" i="13"/>
  <c r="O84" i="13"/>
  <c r="N84" i="13"/>
  <c r="K84" i="13"/>
  <c r="V83" i="13"/>
  <c r="J83" i="13"/>
  <c r="J85" i="13" s="1"/>
  <c r="J88" i="13" s="1"/>
  <c r="J94" i="13" s="1"/>
  <c r="I83" i="13"/>
  <c r="I85" i="13" s="1"/>
  <c r="I88" i="13" s="1"/>
  <c r="I94" i="13" s="1"/>
  <c r="H83" i="13"/>
  <c r="H85" i="13" s="1"/>
  <c r="H88" i="13" s="1"/>
  <c r="H94" i="13" s="1"/>
  <c r="G83" i="13"/>
  <c r="G85" i="13" s="1"/>
  <c r="G88" i="13" s="1"/>
  <c r="G94" i="13" s="1"/>
  <c r="F83" i="13"/>
  <c r="F85" i="13" s="1"/>
  <c r="F88" i="13" s="1"/>
  <c r="F94" i="13" s="1"/>
  <c r="E83" i="13"/>
  <c r="E85" i="13" s="1"/>
  <c r="E88" i="13" s="1"/>
  <c r="E94" i="13" s="1"/>
  <c r="D83" i="13"/>
  <c r="D85" i="13" s="1"/>
  <c r="D88" i="13" s="1"/>
  <c r="D94" i="13" s="1"/>
  <c r="C83" i="13"/>
  <c r="C85" i="13" s="1"/>
  <c r="C88" i="13" s="1"/>
  <c r="C94" i="13" s="1"/>
  <c r="V82" i="13"/>
  <c r="K82" i="13"/>
  <c r="K81" i="13"/>
  <c r="K80" i="13"/>
  <c r="K68" i="13"/>
  <c r="U67" i="13"/>
  <c r="T67" i="13"/>
  <c r="I66" i="13" s="1"/>
  <c r="S67" i="13"/>
  <c r="R67" i="13"/>
  <c r="G66" i="13" s="1"/>
  <c r="Q67" i="13"/>
  <c r="P67" i="13"/>
  <c r="E66" i="13" s="1"/>
  <c r="O67" i="13"/>
  <c r="N67" i="13"/>
  <c r="C66" i="13" s="1"/>
  <c r="K66" i="13" s="1"/>
  <c r="J67" i="13"/>
  <c r="I67" i="13"/>
  <c r="H67" i="13"/>
  <c r="G67" i="13"/>
  <c r="F67" i="13"/>
  <c r="E67" i="13"/>
  <c r="D67" i="13"/>
  <c r="C67" i="13"/>
  <c r="K67" i="13" s="1"/>
  <c r="V66" i="13"/>
  <c r="J66" i="13"/>
  <c r="H66" i="13"/>
  <c r="F66" i="13"/>
  <c r="D66" i="13"/>
  <c r="V65" i="13"/>
  <c r="J65" i="13"/>
  <c r="I65" i="13"/>
  <c r="H65" i="13"/>
  <c r="G65" i="13"/>
  <c r="F65" i="13"/>
  <c r="E65" i="13"/>
  <c r="D65" i="13"/>
  <c r="C65" i="13"/>
  <c r="K64" i="13"/>
  <c r="B63" i="13"/>
  <c r="B69" i="13" s="1"/>
  <c r="B70" i="13" s="1"/>
  <c r="I62" i="13"/>
  <c r="H62" i="13"/>
  <c r="G62" i="13"/>
  <c r="F62" i="13"/>
  <c r="E62" i="13"/>
  <c r="D62" i="13"/>
  <c r="C62" i="13"/>
  <c r="B62" i="13"/>
  <c r="K62" i="13" s="1"/>
  <c r="K61" i="13"/>
  <c r="E60" i="13"/>
  <c r="E63" i="13" s="1"/>
  <c r="E69" i="13" s="1"/>
  <c r="U59" i="13"/>
  <c r="J58" i="13" s="1"/>
  <c r="J60" i="13" s="1"/>
  <c r="J63" i="13" s="1"/>
  <c r="J69" i="13" s="1"/>
  <c r="T59" i="13"/>
  <c r="S59" i="13"/>
  <c r="H58" i="13" s="1"/>
  <c r="H60" i="13" s="1"/>
  <c r="H63" i="13" s="1"/>
  <c r="H69" i="13" s="1"/>
  <c r="R59" i="13"/>
  <c r="Q59" i="13"/>
  <c r="F58" i="13" s="1"/>
  <c r="F60" i="13" s="1"/>
  <c r="F63" i="13" s="1"/>
  <c r="F69" i="13" s="1"/>
  <c r="P59" i="13"/>
  <c r="O59" i="13"/>
  <c r="N59" i="13"/>
  <c r="K59" i="13"/>
  <c r="V58" i="13"/>
  <c r="I58" i="13"/>
  <c r="I60" i="13" s="1"/>
  <c r="I63" i="13" s="1"/>
  <c r="I69" i="13" s="1"/>
  <c r="G58" i="13"/>
  <c r="G60" i="13" s="1"/>
  <c r="G63" i="13" s="1"/>
  <c r="G69" i="13" s="1"/>
  <c r="D58" i="13"/>
  <c r="D60" i="13" s="1"/>
  <c r="D63" i="13" s="1"/>
  <c r="D69" i="13" s="1"/>
  <c r="C58" i="13"/>
  <c r="C60" i="13" s="1"/>
  <c r="C63" i="13" s="1"/>
  <c r="C69" i="13" s="1"/>
  <c r="V57" i="13"/>
  <c r="K57" i="13"/>
  <c r="K56" i="13"/>
  <c r="K55" i="13"/>
  <c r="K43" i="13"/>
  <c r="U42" i="13"/>
  <c r="T42" i="13"/>
  <c r="I41" i="13" s="1"/>
  <c r="S42" i="13"/>
  <c r="R42" i="13"/>
  <c r="G41" i="13" s="1"/>
  <c r="Q42" i="13"/>
  <c r="P42" i="13"/>
  <c r="E41" i="13" s="1"/>
  <c r="O42" i="13"/>
  <c r="N42" i="13"/>
  <c r="C41" i="13" s="1"/>
  <c r="K41" i="13" s="1"/>
  <c r="J42" i="13"/>
  <c r="I42" i="13"/>
  <c r="H42" i="13"/>
  <c r="G42" i="13"/>
  <c r="F42" i="13"/>
  <c r="E42" i="13"/>
  <c r="D42" i="13"/>
  <c r="C42" i="13"/>
  <c r="K42" i="13" s="1"/>
  <c r="V41" i="13"/>
  <c r="J41" i="13"/>
  <c r="H41" i="13"/>
  <c r="F41" i="13"/>
  <c r="D41" i="13"/>
  <c r="V40" i="13"/>
  <c r="I40" i="13"/>
  <c r="H40" i="13"/>
  <c r="G40" i="13"/>
  <c r="F40" i="13"/>
  <c r="E40" i="13"/>
  <c r="D40" i="13"/>
  <c r="C40" i="13"/>
  <c r="K40" i="13" s="1"/>
  <c r="K39" i="13"/>
  <c r="I37" i="13"/>
  <c r="H37" i="13"/>
  <c r="G37" i="13"/>
  <c r="F37" i="13"/>
  <c r="E37" i="13"/>
  <c r="D37" i="13"/>
  <c r="C37" i="13"/>
  <c r="B37" i="13"/>
  <c r="K37" i="13" s="1"/>
  <c r="K36" i="13"/>
  <c r="U34" i="13"/>
  <c r="T34" i="13"/>
  <c r="I33" i="13" s="1"/>
  <c r="I35" i="13" s="1"/>
  <c r="I38" i="13" s="1"/>
  <c r="I44" i="13" s="1"/>
  <c r="S34" i="13"/>
  <c r="R34" i="13"/>
  <c r="G33" i="13" s="1"/>
  <c r="G35" i="13" s="1"/>
  <c r="G38" i="13" s="1"/>
  <c r="G44" i="13" s="1"/>
  <c r="Q34" i="13"/>
  <c r="P34" i="13"/>
  <c r="E33" i="13" s="1"/>
  <c r="E35" i="13" s="1"/>
  <c r="E38" i="13" s="1"/>
  <c r="E44" i="13" s="1"/>
  <c r="O34" i="13"/>
  <c r="N34" i="13"/>
  <c r="C33" i="13" s="1"/>
  <c r="K34" i="13"/>
  <c r="V33" i="13"/>
  <c r="J33" i="13"/>
  <c r="J35" i="13" s="1"/>
  <c r="J38" i="13" s="1"/>
  <c r="J44" i="13" s="1"/>
  <c r="H33" i="13"/>
  <c r="H35" i="13" s="1"/>
  <c r="H38" i="13" s="1"/>
  <c r="H44" i="13" s="1"/>
  <c r="F33" i="13"/>
  <c r="F35" i="13" s="1"/>
  <c r="F38" i="13" s="1"/>
  <c r="F44" i="13" s="1"/>
  <c r="D33" i="13"/>
  <c r="D35" i="13" s="1"/>
  <c r="D38" i="13" s="1"/>
  <c r="D44" i="13" s="1"/>
  <c r="V32" i="13"/>
  <c r="K32" i="13"/>
  <c r="K31" i="13"/>
  <c r="K30" i="13"/>
  <c r="U18" i="13"/>
  <c r="J15" i="13" s="1"/>
  <c r="J141" i="13" s="1"/>
  <c r="T18" i="13"/>
  <c r="S18" i="13"/>
  <c r="H15" i="13" s="1"/>
  <c r="H141" i="13" s="1"/>
  <c r="R18" i="13"/>
  <c r="Q18" i="13"/>
  <c r="F15" i="13" s="1"/>
  <c r="F141" i="13" s="1"/>
  <c r="P18" i="13"/>
  <c r="O18" i="13"/>
  <c r="D15" i="13" s="1"/>
  <c r="D141" i="13" s="1"/>
  <c r="N18" i="13"/>
  <c r="V17" i="13"/>
  <c r="K17" i="13"/>
  <c r="V16" i="13"/>
  <c r="J16" i="13"/>
  <c r="I16" i="13"/>
  <c r="H16" i="13"/>
  <c r="G16" i="13"/>
  <c r="F16" i="13"/>
  <c r="E16" i="13"/>
  <c r="D16" i="13"/>
  <c r="C16" i="13"/>
  <c r="K16" i="13" s="1"/>
  <c r="I15" i="13"/>
  <c r="G15" i="13"/>
  <c r="E15" i="13"/>
  <c r="C15" i="13"/>
  <c r="J14" i="13"/>
  <c r="J140" i="13" s="1"/>
  <c r="I14" i="13"/>
  <c r="H14" i="13"/>
  <c r="H140" i="13" s="1"/>
  <c r="G14" i="13"/>
  <c r="F14" i="13"/>
  <c r="F140" i="13" s="1"/>
  <c r="E14" i="13"/>
  <c r="D14" i="13"/>
  <c r="D140" i="13" s="1"/>
  <c r="C14" i="13"/>
  <c r="K13" i="13"/>
  <c r="P11" i="13"/>
  <c r="O11" i="13"/>
  <c r="N11" i="13"/>
  <c r="I11" i="13"/>
  <c r="H11" i="13"/>
  <c r="G11" i="13"/>
  <c r="F11" i="13"/>
  <c r="E11" i="13"/>
  <c r="D11" i="13"/>
  <c r="C11" i="13"/>
  <c r="B11" i="13"/>
  <c r="B12" i="13" s="1"/>
  <c r="B18" i="13" s="1"/>
  <c r="B19" i="13" s="1"/>
  <c r="U10" i="13"/>
  <c r="U12" i="13" s="1"/>
  <c r="J7" i="13" s="1"/>
  <c r="T10" i="13"/>
  <c r="T12" i="13" s="1"/>
  <c r="I7" i="13" s="1"/>
  <c r="S10" i="13"/>
  <c r="S12" i="13" s="1"/>
  <c r="H7" i="13" s="1"/>
  <c r="R10" i="13"/>
  <c r="R12" i="13" s="1"/>
  <c r="G7" i="13" s="1"/>
  <c r="Q10" i="13"/>
  <c r="Q12" i="13" s="1"/>
  <c r="F7" i="13" s="1"/>
  <c r="P10" i="13"/>
  <c r="P12" i="13" s="1"/>
  <c r="E7" i="13" s="1"/>
  <c r="O10" i="13"/>
  <c r="O12" i="13" s="1"/>
  <c r="D7" i="13" s="1"/>
  <c r="N10" i="13"/>
  <c r="N12" i="13" s="1"/>
  <c r="K10" i="13"/>
  <c r="V9" i="13"/>
  <c r="V8" i="13"/>
  <c r="K8" i="13"/>
  <c r="K6" i="13"/>
  <c r="K5" i="13"/>
  <c r="K4" i="13"/>
  <c r="V12" i="13" l="1"/>
  <c r="C7" i="13"/>
  <c r="E133" i="13"/>
  <c r="E9" i="13"/>
  <c r="E12" i="13" s="1"/>
  <c r="E18" i="13" s="1"/>
  <c r="G133" i="13"/>
  <c r="G9" i="13"/>
  <c r="G12" i="13" s="1"/>
  <c r="G18" i="13" s="1"/>
  <c r="I133" i="13"/>
  <c r="I9" i="13"/>
  <c r="I12" i="13" s="1"/>
  <c r="I18" i="13" s="1"/>
  <c r="D133" i="13"/>
  <c r="D135" i="13" s="1"/>
  <c r="D138" i="13" s="1"/>
  <c r="D144" i="13" s="1"/>
  <c r="D9" i="13"/>
  <c r="D12" i="13" s="1"/>
  <c r="D18" i="13" s="1"/>
  <c r="F133" i="13"/>
  <c r="F9" i="13"/>
  <c r="F12" i="13" s="1"/>
  <c r="F18" i="13" s="1"/>
  <c r="H133" i="13"/>
  <c r="H135" i="13" s="1"/>
  <c r="H138" i="13" s="1"/>
  <c r="H144" i="13" s="1"/>
  <c r="H9" i="13"/>
  <c r="H12" i="13" s="1"/>
  <c r="H18" i="13" s="1"/>
  <c r="J133" i="13"/>
  <c r="J9" i="13"/>
  <c r="J12" i="13" s="1"/>
  <c r="J18" i="13" s="1"/>
  <c r="K33" i="13"/>
  <c r="C35" i="13"/>
  <c r="C38" i="13" s="1"/>
  <c r="C44" i="13" s="1"/>
  <c r="E45" i="13"/>
  <c r="E48" i="13" s="1"/>
  <c r="G45" i="13"/>
  <c r="G48" i="13" s="1"/>
  <c r="I45" i="13"/>
  <c r="I48" i="13" s="1"/>
  <c r="B73" i="13"/>
  <c r="B22" i="13"/>
  <c r="K35" i="13"/>
  <c r="K38" i="13" s="1"/>
  <c r="K44" i="13" s="1"/>
  <c r="D45" i="13"/>
  <c r="D48" i="13" s="1"/>
  <c r="F45" i="13"/>
  <c r="F48" i="13" s="1"/>
  <c r="H45" i="13"/>
  <c r="H48" i="13" s="1"/>
  <c r="J45" i="13"/>
  <c r="J48" i="13" s="1"/>
  <c r="C141" i="13"/>
  <c r="G141" i="13"/>
  <c r="K15" i="13"/>
  <c r="G19" i="13"/>
  <c r="G22" i="13" s="1"/>
  <c r="C45" i="13"/>
  <c r="C48" i="13" s="1"/>
  <c r="K58" i="13"/>
  <c r="K60" i="13" s="1"/>
  <c r="K63" i="13" s="1"/>
  <c r="K69" i="13" s="1"/>
  <c r="F70" i="13"/>
  <c r="F73" i="13" s="1"/>
  <c r="J70" i="13"/>
  <c r="J73" i="13" s="1"/>
  <c r="K11" i="13"/>
  <c r="C140" i="13"/>
  <c r="E140" i="13"/>
  <c r="G140" i="13"/>
  <c r="I140" i="13"/>
  <c r="K14" i="13"/>
  <c r="D19" i="13"/>
  <c r="D22" i="13" s="1"/>
  <c r="F19" i="13"/>
  <c r="F22" i="13" s="1"/>
  <c r="H19" i="13"/>
  <c r="H22" i="13" s="1"/>
  <c r="J19" i="13"/>
  <c r="J22" i="13" s="1"/>
  <c r="B38" i="13"/>
  <c r="B44" i="13" s="1"/>
  <c r="B45" i="13" s="1"/>
  <c r="C70" i="13"/>
  <c r="C73" i="13" s="1"/>
  <c r="E70" i="13"/>
  <c r="E73" i="13" s="1"/>
  <c r="G70" i="13"/>
  <c r="G73" i="13" s="1"/>
  <c r="I70" i="13"/>
  <c r="I73" i="13" s="1"/>
  <c r="K65" i="13"/>
  <c r="C95" i="13"/>
  <c r="C98" i="13" s="1"/>
  <c r="E95" i="13"/>
  <c r="E98" i="13" s="1"/>
  <c r="G95" i="13"/>
  <c r="G98" i="13" s="1"/>
  <c r="I95" i="13"/>
  <c r="I98" i="13" s="1"/>
  <c r="F135" i="13"/>
  <c r="F138" i="13" s="1"/>
  <c r="F144" i="13" s="1"/>
  <c r="J135" i="13"/>
  <c r="J138" i="13" s="1"/>
  <c r="J144" i="13" s="1"/>
  <c r="J145" i="13" s="1"/>
  <c r="J148" i="13" s="1"/>
  <c r="E141" i="13"/>
  <c r="I141" i="13"/>
  <c r="E19" i="13"/>
  <c r="E22" i="13" s="1"/>
  <c r="I19" i="13"/>
  <c r="I22" i="13" s="1"/>
  <c r="D70" i="13"/>
  <c r="D73" i="13" s="1"/>
  <c r="H70" i="13"/>
  <c r="H73" i="13" s="1"/>
  <c r="B123" i="13"/>
  <c r="D120" i="13"/>
  <c r="D123" i="13" s="1"/>
  <c r="H120" i="13"/>
  <c r="H123" i="13" s="1"/>
  <c r="K83" i="13"/>
  <c r="K85" i="13" s="1"/>
  <c r="K88" i="13" s="1"/>
  <c r="K94" i="13" s="1"/>
  <c r="B88" i="13"/>
  <c r="B94" i="13" s="1"/>
  <c r="B95" i="13" s="1"/>
  <c r="K90" i="13"/>
  <c r="J95" i="13"/>
  <c r="J98" i="13" s="1"/>
  <c r="C110" i="13"/>
  <c r="C113" i="13" s="1"/>
  <c r="C119" i="13" s="1"/>
  <c r="K112" i="13"/>
  <c r="K113" i="13" s="1"/>
  <c r="K119" i="13" s="1"/>
  <c r="K132" i="13"/>
  <c r="K136" i="13"/>
  <c r="K139" i="13"/>
  <c r="D145" i="13"/>
  <c r="D148" i="13" s="1"/>
  <c r="F145" i="13"/>
  <c r="F148" i="13" s="1"/>
  <c r="H145" i="13"/>
  <c r="H148" i="13" s="1"/>
  <c r="K141" i="13"/>
  <c r="C120" i="13"/>
  <c r="C123" i="13" s="1"/>
  <c r="E120" i="13"/>
  <c r="E123" i="13" s="1"/>
  <c r="G120" i="13"/>
  <c r="G123" i="13" s="1"/>
  <c r="I120" i="13"/>
  <c r="I123" i="13" s="1"/>
  <c r="K115" i="13"/>
  <c r="E135" i="13"/>
  <c r="E138" i="13" s="1"/>
  <c r="E144" i="13" s="1"/>
  <c r="G135" i="13"/>
  <c r="G138" i="13" s="1"/>
  <c r="G144" i="13" s="1"/>
  <c r="I135" i="13"/>
  <c r="I138" i="13" s="1"/>
  <c r="I144" i="13" s="1"/>
  <c r="K130" i="13"/>
  <c r="B138" i="13"/>
  <c r="B144" i="13" s="1"/>
  <c r="B145" i="13" s="1"/>
  <c r="K140" i="13"/>
  <c r="I16" i="8"/>
  <c r="H16" i="12"/>
  <c r="I16" i="12"/>
  <c r="B148" i="13" l="1"/>
  <c r="K95" i="13"/>
  <c r="B98" i="13"/>
  <c r="K98" i="13" s="1"/>
  <c r="K100" i="13" s="1"/>
  <c r="K123" i="13"/>
  <c r="K125" i="13" s="1"/>
  <c r="K126" i="13" s="1"/>
  <c r="G145" i="13"/>
  <c r="G148" i="13" s="1"/>
  <c r="K70" i="13"/>
  <c r="C133" i="13"/>
  <c r="K7" i="13"/>
  <c r="K9" i="13" s="1"/>
  <c r="K12" i="13" s="1"/>
  <c r="K18" i="13" s="1"/>
  <c r="C9" i="13"/>
  <c r="C12" i="13" s="1"/>
  <c r="C18" i="13" s="1"/>
  <c r="C19" i="13" s="1"/>
  <c r="K120" i="13"/>
  <c r="B48" i="13"/>
  <c r="K48" i="13" s="1"/>
  <c r="K50" i="13" s="1"/>
  <c r="K51" i="13" s="1"/>
  <c r="K45" i="13"/>
  <c r="I145" i="13"/>
  <c r="I148" i="13" s="1"/>
  <c r="E145" i="13"/>
  <c r="E148" i="13" s="1"/>
  <c r="K73" i="13"/>
  <c r="K75" i="13" s="1"/>
  <c r="K76" i="13" s="1"/>
  <c r="I19" i="8"/>
  <c r="I22" i="8" s="1"/>
  <c r="B19" i="8"/>
  <c r="K17" i="8"/>
  <c r="J16" i="8"/>
  <c r="J19" i="8" s="1"/>
  <c r="J22" i="8" s="1"/>
  <c r="H16" i="8"/>
  <c r="H19" i="8" s="1"/>
  <c r="H22" i="8" s="1"/>
  <c r="G16" i="8"/>
  <c r="G19" i="8" s="1"/>
  <c r="G22" i="8" s="1"/>
  <c r="F16" i="8"/>
  <c r="F19" i="8" s="1"/>
  <c r="F22" i="8" s="1"/>
  <c r="E16" i="8"/>
  <c r="E19" i="8" s="1"/>
  <c r="E22" i="8" s="1"/>
  <c r="D16" i="8"/>
  <c r="D19" i="8" s="1"/>
  <c r="D22" i="8" s="1"/>
  <c r="C16" i="8"/>
  <c r="C19" i="8" s="1"/>
  <c r="C22" i="8" s="1"/>
  <c r="K15" i="8"/>
  <c r="K14" i="8"/>
  <c r="J14" i="8"/>
  <c r="K13" i="8"/>
  <c r="I11" i="8"/>
  <c r="H11" i="8"/>
  <c r="G11" i="8"/>
  <c r="F11" i="8"/>
  <c r="E11" i="8"/>
  <c r="D11" i="8"/>
  <c r="C11" i="8"/>
  <c r="B11" i="8"/>
  <c r="K10" i="8"/>
  <c r="J9" i="8"/>
  <c r="J12" i="8" s="1"/>
  <c r="I9" i="8"/>
  <c r="I12" i="8" s="1"/>
  <c r="H9" i="8"/>
  <c r="H12" i="8" s="1"/>
  <c r="G9" i="8"/>
  <c r="G12" i="8" s="1"/>
  <c r="F9" i="8"/>
  <c r="F12" i="8" s="1"/>
  <c r="E9" i="8"/>
  <c r="E12" i="8" s="1"/>
  <c r="D9" i="8"/>
  <c r="D12" i="8" s="1"/>
  <c r="C9" i="8"/>
  <c r="C12" i="8" s="1"/>
  <c r="K8" i="8"/>
  <c r="K7" i="8"/>
  <c r="K6" i="8"/>
  <c r="K5" i="8"/>
  <c r="K4" i="8"/>
  <c r="K17" i="12"/>
  <c r="J16" i="12"/>
  <c r="G16" i="12"/>
  <c r="F16" i="12"/>
  <c r="E16" i="12"/>
  <c r="D16" i="12"/>
  <c r="C16" i="12"/>
  <c r="K15" i="12"/>
  <c r="J14" i="12"/>
  <c r="K13" i="12"/>
  <c r="I11" i="12"/>
  <c r="H11" i="12"/>
  <c r="G11" i="12"/>
  <c r="F11" i="12"/>
  <c r="E11" i="12"/>
  <c r="D11" i="12"/>
  <c r="C11" i="12"/>
  <c r="B11" i="12"/>
  <c r="B12" i="12" s="1"/>
  <c r="K10" i="12"/>
  <c r="K8" i="12"/>
  <c r="K6" i="12"/>
  <c r="K5" i="12"/>
  <c r="B18" i="12" l="1"/>
  <c r="B19" i="12" s="1"/>
  <c r="B22" i="12" s="1"/>
  <c r="K16" i="12"/>
  <c r="C22" i="13"/>
  <c r="K22" i="13" s="1"/>
  <c r="K24" i="13" s="1"/>
  <c r="K25" i="13" s="1"/>
  <c r="K19" i="13"/>
  <c r="K133" i="13"/>
  <c r="K135" i="13" s="1"/>
  <c r="K138" i="13" s="1"/>
  <c r="K144" i="13" s="1"/>
  <c r="C135" i="13"/>
  <c r="C138" i="13" s="1"/>
  <c r="C144" i="13" s="1"/>
  <c r="C145" i="13" s="1"/>
  <c r="K9" i="8"/>
  <c r="K11" i="8"/>
  <c r="B12" i="8"/>
  <c r="K19" i="8"/>
  <c r="B22" i="8"/>
  <c r="K22" i="8" s="1"/>
  <c r="K24" i="8" s="1"/>
  <c r="K25" i="8" s="1"/>
  <c r="K16" i="8"/>
  <c r="C9" i="12"/>
  <c r="C12" i="12" s="1"/>
  <c r="C18" i="12" s="1"/>
  <c r="C19" i="12" s="1"/>
  <c r="C22" i="12" s="1"/>
  <c r="G9" i="12"/>
  <c r="G12" i="12" s="1"/>
  <c r="K14" i="12"/>
  <c r="K7" i="12"/>
  <c r="K9" i="12" s="1"/>
  <c r="E9" i="12"/>
  <c r="E12" i="12" s="1"/>
  <c r="I9" i="12"/>
  <c r="I12" i="12" s="1"/>
  <c r="I18" i="12" s="1"/>
  <c r="K11" i="12"/>
  <c r="D9" i="12"/>
  <c r="D12" i="12" s="1"/>
  <c r="F9" i="12"/>
  <c r="F12" i="12" s="1"/>
  <c r="H9" i="12"/>
  <c r="H12" i="12" s="1"/>
  <c r="J9" i="12"/>
  <c r="J12" i="12" s="1"/>
  <c r="F58" i="10"/>
  <c r="F65" i="10"/>
  <c r="E65" i="10"/>
  <c r="E40" i="10"/>
  <c r="H18" i="12" l="1"/>
  <c r="H19" i="12" s="1"/>
  <c r="H22" i="12" s="1"/>
  <c r="J22" i="12"/>
  <c r="J18" i="12"/>
  <c r="F18" i="12"/>
  <c r="F19" i="12" s="1"/>
  <c r="F22" i="12" s="1"/>
  <c r="E18" i="12"/>
  <c r="E19" i="12" s="1"/>
  <c r="E22" i="12" s="1"/>
  <c r="D18" i="12"/>
  <c r="D19" i="12" s="1"/>
  <c r="D22" i="12" s="1"/>
  <c r="G18" i="12"/>
  <c r="G19" i="12" s="1"/>
  <c r="G22" i="12" s="1"/>
  <c r="C148" i="13"/>
  <c r="K148" i="13" s="1"/>
  <c r="K150" i="13" s="1"/>
  <c r="K151" i="13" s="1"/>
  <c r="K145" i="13"/>
  <c r="K12" i="8"/>
  <c r="K18" i="8" s="1"/>
  <c r="I22" i="12"/>
  <c r="K12" i="12"/>
  <c r="K18" i="12" s="1"/>
  <c r="D131" i="10"/>
  <c r="E131" i="10"/>
  <c r="F131" i="10"/>
  <c r="G131" i="10"/>
  <c r="H131" i="10"/>
  <c r="I131" i="10"/>
  <c r="J131" i="10"/>
  <c r="C131" i="10"/>
  <c r="D132" i="10"/>
  <c r="E132" i="10"/>
  <c r="F132" i="10"/>
  <c r="G132" i="10"/>
  <c r="H132" i="10"/>
  <c r="I132" i="10"/>
  <c r="J132" i="10"/>
  <c r="C132" i="10"/>
  <c r="K126" i="10"/>
  <c r="K22" i="12" l="1"/>
  <c r="K24" i="12" s="1"/>
  <c r="K25" i="12" s="1"/>
  <c r="K19" i="12"/>
  <c r="D7" i="10"/>
  <c r="E7" i="10"/>
  <c r="F7" i="10"/>
  <c r="G7" i="10"/>
  <c r="H7" i="10"/>
  <c r="I7" i="10"/>
  <c r="J7" i="10"/>
  <c r="C7" i="10"/>
  <c r="V12" i="10"/>
  <c r="O12" i="10"/>
  <c r="P12" i="10"/>
  <c r="Q12" i="10"/>
  <c r="R12" i="10"/>
  <c r="S12" i="10"/>
  <c r="T12" i="10"/>
  <c r="U12" i="10"/>
  <c r="N12" i="10"/>
  <c r="P11" i="10"/>
  <c r="O11" i="10"/>
  <c r="N11" i="10"/>
  <c r="K24" i="11" l="1"/>
  <c r="J21" i="11"/>
  <c r="I21" i="11"/>
  <c r="H21" i="11"/>
  <c r="G21" i="11"/>
  <c r="F21" i="11"/>
  <c r="E21" i="11"/>
  <c r="D21" i="11"/>
  <c r="C21" i="11"/>
  <c r="K22" i="11" l="1"/>
  <c r="V4" i="11"/>
  <c r="J143" i="11"/>
  <c r="I143" i="11"/>
  <c r="H143" i="11"/>
  <c r="G143" i="11"/>
  <c r="F143" i="11"/>
  <c r="E143" i="11"/>
  <c r="D143" i="11"/>
  <c r="C143" i="11"/>
  <c r="B143" i="11"/>
  <c r="K143" i="11" s="1"/>
  <c r="B141" i="11"/>
  <c r="B140" i="11"/>
  <c r="I139" i="11"/>
  <c r="H139" i="11"/>
  <c r="G139" i="11"/>
  <c r="F139" i="11"/>
  <c r="E139" i="11"/>
  <c r="D139" i="11"/>
  <c r="C139" i="11"/>
  <c r="B139" i="11"/>
  <c r="J136" i="11"/>
  <c r="I137" i="11" s="1"/>
  <c r="I136" i="11"/>
  <c r="H137" i="11" s="1"/>
  <c r="H136" i="11"/>
  <c r="G137" i="11" s="1"/>
  <c r="G136" i="11"/>
  <c r="F137" i="11" s="1"/>
  <c r="F136" i="11"/>
  <c r="E137" i="11" s="1"/>
  <c r="E136" i="11"/>
  <c r="D137" i="11" s="1"/>
  <c r="D136" i="11"/>
  <c r="C137" i="11" s="1"/>
  <c r="C136" i="11"/>
  <c r="K136" i="11" s="1"/>
  <c r="J134" i="11"/>
  <c r="I134" i="11"/>
  <c r="H134" i="11"/>
  <c r="G134" i="11"/>
  <c r="F134" i="11"/>
  <c r="E134" i="11"/>
  <c r="D134" i="11"/>
  <c r="C134" i="11"/>
  <c r="J132" i="11"/>
  <c r="J142" i="11" s="1"/>
  <c r="I132" i="11"/>
  <c r="I142" i="11" s="1"/>
  <c r="H132" i="11"/>
  <c r="H142" i="11" s="1"/>
  <c r="G132" i="11"/>
  <c r="G142" i="11" s="1"/>
  <c r="F132" i="11"/>
  <c r="F142" i="11" s="1"/>
  <c r="E132" i="11"/>
  <c r="E142" i="11" s="1"/>
  <c r="D132" i="11"/>
  <c r="D142" i="11" s="1"/>
  <c r="C132" i="11"/>
  <c r="C142" i="11" s="1"/>
  <c r="K142" i="11" s="1"/>
  <c r="J131" i="11"/>
  <c r="I131" i="11"/>
  <c r="H131" i="11"/>
  <c r="G131" i="11"/>
  <c r="F131" i="11"/>
  <c r="E131" i="11"/>
  <c r="D131" i="11"/>
  <c r="C131" i="11"/>
  <c r="K131" i="11" s="1"/>
  <c r="J130" i="11"/>
  <c r="I130" i="11"/>
  <c r="H130" i="11"/>
  <c r="G130" i="11"/>
  <c r="F130" i="11"/>
  <c r="E130" i="11"/>
  <c r="D130" i="11"/>
  <c r="C130" i="11"/>
  <c r="K130" i="11" s="1"/>
  <c r="K118" i="11"/>
  <c r="U117" i="11"/>
  <c r="T117" i="11"/>
  <c r="S117" i="11"/>
  <c r="R117" i="11"/>
  <c r="Q117" i="11"/>
  <c r="P117" i="11"/>
  <c r="O117" i="11"/>
  <c r="N117" i="11"/>
  <c r="J117" i="11"/>
  <c r="I117" i="11"/>
  <c r="H117" i="11"/>
  <c r="G117" i="11"/>
  <c r="F117" i="11"/>
  <c r="E117" i="11"/>
  <c r="D117" i="11"/>
  <c r="C117" i="11"/>
  <c r="K117" i="11" s="1"/>
  <c r="V116" i="11"/>
  <c r="J116" i="11"/>
  <c r="I116" i="11"/>
  <c r="H116" i="11"/>
  <c r="G116" i="11"/>
  <c r="F116" i="11"/>
  <c r="E116" i="11"/>
  <c r="D116" i="11"/>
  <c r="C116" i="11"/>
  <c r="K116" i="11" s="1"/>
  <c r="V115" i="11"/>
  <c r="J115" i="11"/>
  <c r="I115" i="11"/>
  <c r="H115" i="11"/>
  <c r="G115" i="11"/>
  <c r="F115" i="11"/>
  <c r="E115" i="11"/>
  <c r="D115" i="11"/>
  <c r="C115" i="11"/>
  <c r="K114" i="11"/>
  <c r="I112" i="11"/>
  <c r="H112" i="11"/>
  <c r="G112" i="11"/>
  <c r="F112" i="11"/>
  <c r="E112" i="11"/>
  <c r="D112" i="11"/>
  <c r="C112" i="11"/>
  <c r="B112" i="11"/>
  <c r="K112" i="11" s="1"/>
  <c r="K111" i="11"/>
  <c r="U109" i="11"/>
  <c r="T109" i="11"/>
  <c r="S109" i="11"/>
  <c r="R109" i="11"/>
  <c r="Q109" i="11"/>
  <c r="P109" i="11"/>
  <c r="O109" i="11"/>
  <c r="N109" i="11"/>
  <c r="K109" i="11"/>
  <c r="V108" i="11"/>
  <c r="J108" i="11"/>
  <c r="J110" i="11" s="1"/>
  <c r="J113" i="11" s="1"/>
  <c r="J119" i="11" s="1"/>
  <c r="I108" i="11"/>
  <c r="I110" i="11" s="1"/>
  <c r="I113" i="11" s="1"/>
  <c r="I119" i="11" s="1"/>
  <c r="H108" i="11"/>
  <c r="H110" i="11" s="1"/>
  <c r="H113" i="11" s="1"/>
  <c r="H119" i="11" s="1"/>
  <c r="G108" i="11"/>
  <c r="G110" i="11" s="1"/>
  <c r="G113" i="11" s="1"/>
  <c r="G119" i="11" s="1"/>
  <c r="F108" i="11"/>
  <c r="F110" i="11" s="1"/>
  <c r="F113" i="11" s="1"/>
  <c r="F119" i="11" s="1"/>
  <c r="E108" i="11"/>
  <c r="E110" i="11" s="1"/>
  <c r="E113" i="11" s="1"/>
  <c r="E119" i="11" s="1"/>
  <c r="D108" i="11"/>
  <c r="D110" i="11" s="1"/>
  <c r="D113" i="11" s="1"/>
  <c r="D119" i="11" s="1"/>
  <c r="C108" i="11"/>
  <c r="C110" i="11" s="1"/>
  <c r="C113" i="11" s="1"/>
  <c r="C119" i="11" s="1"/>
  <c r="V107" i="11"/>
  <c r="K107" i="11"/>
  <c r="K106" i="11"/>
  <c r="K105" i="11"/>
  <c r="K93" i="11"/>
  <c r="U92" i="11"/>
  <c r="T92" i="11"/>
  <c r="S92" i="11"/>
  <c r="R92" i="11"/>
  <c r="Q92" i="11"/>
  <c r="P92" i="11"/>
  <c r="O92" i="11"/>
  <c r="N92" i="11"/>
  <c r="J92" i="11"/>
  <c r="I92" i="11"/>
  <c r="H92" i="11"/>
  <c r="G92" i="11"/>
  <c r="F92" i="11"/>
  <c r="E92" i="11"/>
  <c r="D92" i="11"/>
  <c r="C92" i="11"/>
  <c r="K92" i="11" s="1"/>
  <c r="V91" i="11"/>
  <c r="J91" i="11"/>
  <c r="I91" i="11"/>
  <c r="H91" i="11"/>
  <c r="G91" i="11"/>
  <c r="F91" i="11"/>
  <c r="E91" i="11"/>
  <c r="D91" i="11"/>
  <c r="C91" i="11"/>
  <c r="V90" i="11"/>
  <c r="J90" i="11"/>
  <c r="I90" i="11"/>
  <c r="H90" i="11"/>
  <c r="G90" i="11"/>
  <c r="F90" i="11"/>
  <c r="E90" i="11"/>
  <c r="D90" i="11"/>
  <c r="C90" i="11"/>
  <c r="J89" i="11"/>
  <c r="J139" i="11" s="1"/>
  <c r="I87" i="11"/>
  <c r="H87" i="11"/>
  <c r="G87" i="11"/>
  <c r="F87" i="11"/>
  <c r="E87" i="11"/>
  <c r="D87" i="11"/>
  <c r="C87" i="11"/>
  <c r="B87" i="11"/>
  <c r="K87" i="11" s="1"/>
  <c r="K86" i="11"/>
  <c r="U84" i="11"/>
  <c r="T84" i="11"/>
  <c r="S84" i="11"/>
  <c r="R84" i="11"/>
  <c r="Q84" i="11"/>
  <c r="P84" i="11"/>
  <c r="O84" i="11"/>
  <c r="N84" i="11"/>
  <c r="K84" i="11"/>
  <c r="V83" i="11"/>
  <c r="J83" i="11"/>
  <c r="J85" i="11" s="1"/>
  <c r="J88" i="11" s="1"/>
  <c r="J94" i="11" s="1"/>
  <c r="I83" i="11"/>
  <c r="I85" i="11" s="1"/>
  <c r="I88" i="11" s="1"/>
  <c r="I94" i="11" s="1"/>
  <c r="H83" i="11"/>
  <c r="H85" i="11" s="1"/>
  <c r="H88" i="11" s="1"/>
  <c r="H94" i="11" s="1"/>
  <c r="G83" i="11"/>
  <c r="G85" i="11" s="1"/>
  <c r="G88" i="11" s="1"/>
  <c r="G94" i="11" s="1"/>
  <c r="F83" i="11"/>
  <c r="F85" i="11" s="1"/>
  <c r="F88" i="11" s="1"/>
  <c r="F94" i="11" s="1"/>
  <c r="E83" i="11"/>
  <c r="E85" i="11" s="1"/>
  <c r="E88" i="11" s="1"/>
  <c r="E94" i="11" s="1"/>
  <c r="D83" i="11"/>
  <c r="D85" i="11" s="1"/>
  <c r="D88" i="11" s="1"/>
  <c r="D94" i="11" s="1"/>
  <c r="C83" i="11"/>
  <c r="C85" i="11" s="1"/>
  <c r="C88" i="11" s="1"/>
  <c r="C94" i="11" s="1"/>
  <c r="V82" i="11"/>
  <c r="K82" i="11"/>
  <c r="K81" i="11"/>
  <c r="K80" i="11"/>
  <c r="K68" i="11"/>
  <c r="U67" i="11"/>
  <c r="T67" i="11"/>
  <c r="S67" i="11"/>
  <c r="R67" i="11"/>
  <c r="Q67" i="11"/>
  <c r="P67" i="11"/>
  <c r="O67" i="11"/>
  <c r="N67" i="11"/>
  <c r="J67" i="11"/>
  <c r="I67" i="11"/>
  <c r="H67" i="11"/>
  <c r="G67" i="11"/>
  <c r="F67" i="11"/>
  <c r="E67" i="11"/>
  <c r="D67" i="11"/>
  <c r="C67" i="11"/>
  <c r="V66" i="11"/>
  <c r="J66" i="11"/>
  <c r="I66" i="11"/>
  <c r="H66" i="11"/>
  <c r="G66" i="11"/>
  <c r="F66" i="11"/>
  <c r="E66" i="11"/>
  <c r="D66" i="11"/>
  <c r="C66" i="11"/>
  <c r="K66" i="11" s="1"/>
  <c r="V65" i="11"/>
  <c r="J65" i="11"/>
  <c r="I65" i="11"/>
  <c r="H65" i="11"/>
  <c r="G65" i="11"/>
  <c r="F65" i="11"/>
  <c r="E65" i="11"/>
  <c r="D65" i="11"/>
  <c r="C65" i="11"/>
  <c r="K64" i="11"/>
  <c r="I62" i="11"/>
  <c r="H62" i="11"/>
  <c r="G62" i="11"/>
  <c r="F62" i="11"/>
  <c r="E62" i="11"/>
  <c r="D62" i="11"/>
  <c r="C62" i="11"/>
  <c r="B62" i="11"/>
  <c r="B63" i="11" s="1"/>
  <c r="B69" i="11" s="1"/>
  <c r="B70" i="11" s="1"/>
  <c r="K61" i="11"/>
  <c r="U59" i="11"/>
  <c r="T59" i="11"/>
  <c r="S59" i="11"/>
  <c r="R59" i="11"/>
  <c r="Q59" i="11"/>
  <c r="P59" i="11"/>
  <c r="O59" i="11"/>
  <c r="N59" i="11"/>
  <c r="K59" i="11"/>
  <c r="V58" i="11"/>
  <c r="J58" i="11"/>
  <c r="J60" i="11" s="1"/>
  <c r="J63" i="11" s="1"/>
  <c r="J69" i="11" s="1"/>
  <c r="I58" i="11"/>
  <c r="I60" i="11" s="1"/>
  <c r="I63" i="11" s="1"/>
  <c r="I69" i="11" s="1"/>
  <c r="H58" i="11"/>
  <c r="H60" i="11" s="1"/>
  <c r="H63" i="11" s="1"/>
  <c r="H69" i="11" s="1"/>
  <c r="G58" i="11"/>
  <c r="G60" i="11" s="1"/>
  <c r="G63" i="11" s="1"/>
  <c r="G69" i="11" s="1"/>
  <c r="F58" i="11"/>
  <c r="F60" i="11" s="1"/>
  <c r="F63" i="11" s="1"/>
  <c r="F69" i="11" s="1"/>
  <c r="E58" i="11"/>
  <c r="E60" i="11" s="1"/>
  <c r="E63" i="11" s="1"/>
  <c r="E69" i="11" s="1"/>
  <c r="D58" i="11"/>
  <c r="D60" i="11" s="1"/>
  <c r="D63" i="11" s="1"/>
  <c r="D69" i="11" s="1"/>
  <c r="C58" i="11"/>
  <c r="V57" i="11"/>
  <c r="K57" i="11"/>
  <c r="K56" i="11"/>
  <c r="K55" i="11"/>
  <c r="K43" i="11"/>
  <c r="U42" i="11"/>
  <c r="T42" i="11"/>
  <c r="I41" i="11" s="1"/>
  <c r="S42" i="11"/>
  <c r="R42" i="11"/>
  <c r="Q42" i="11"/>
  <c r="P42" i="11"/>
  <c r="O42" i="11"/>
  <c r="N42" i="11"/>
  <c r="J42" i="11"/>
  <c r="I42" i="11"/>
  <c r="H42" i="11"/>
  <c r="G42" i="11"/>
  <c r="F42" i="11"/>
  <c r="E42" i="11"/>
  <c r="D42" i="11"/>
  <c r="C42" i="11"/>
  <c r="K42" i="11" s="1"/>
  <c r="V41" i="11"/>
  <c r="J41" i="11"/>
  <c r="H41" i="11"/>
  <c r="G41" i="11"/>
  <c r="F41" i="11"/>
  <c r="E41" i="11"/>
  <c r="D41" i="11"/>
  <c r="C41" i="11"/>
  <c r="V40" i="11"/>
  <c r="I40" i="11"/>
  <c r="H40" i="11"/>
  <c r="G40" i="11"/>
  <c r="F40" i="11"/>
  <c r="E40" i="11"/>
  <c r="D40" i="11"/>
  <c r="C40" i="11"/>
  <c r="K39" i="11"/>
  <c r="I37" i="11"/>
  <c r="H37" i="11"/>
  <c r="G37" i="11"/>
  <c r="F37" i="11"/>
  <c r="E37" i="11"/>
  <c r="D37" i="11"/>
  <c r="C37" i="11"/>
  <c r="B37" i="11"/>
  <c r="K37" i="11" s="1"/>
  <c r="K36" i="11"/>
  <c r="U34" i="11"/>
  <c r="T34" i="11"/>
  <c r="S34" i="11"/>
  <c r="R34" i="11"/>
  <c r="Q34" i="11"/>
  <c r="P34" i="11"/>
  <c r="O34" i="11"/>
  <c r="N34" i="11"/>
  <c r="K34" i="11"/>
  <c r="V33" i="11"/>
  <c r="J33" i="11"/>
  <c r="J35" i="11" s="1"/>
  <c r="J38" i="11" s="1"/>
  <c r="J44" i="11" s="1"/>
  <c r="I33" i="11"/>
  <c r="I35" i="11" s="1"/>
  <c r="I38" i="11" s="1"/>
  <c r="H33" i="11"/>
  <c r="H35" i="11" s="1"/>
  <c r="H38" i="11" s="1"/>
  <c r="H44" i="11" s="1"/>
  <c r="G33" i="11"/>
  <c r="G35" i="11" s="1"/>
  <c r="G38" i="11" s="1"/>
  <c r="G44" i="11" s="1"/>
  <c r="F33" i="11"/>
  <c r="F35" i="11" s="1"/>
  <c r="F38" i="11" s="1"/>
  <c r="F44" i="11" s="1"/>
  <c r="E33" i="11"/>
  <c r="E35" i="11" s="1"/>
  <c r="E38" i="11" s="1"/>
  <c r="E44" i="11" s="1"/>
  <c r="D33" i="11"/>
  <c r="D35" i="11" s="1"/>
  <c r="D38" i="11" s="1"/>
  <c r="D44" i="11" s="1"/>
  <c r="C33" i="11"/>
  <c r="C35" i="11" s="1"/>
  <c r="C38" i="11" s="1"/>
  <c r="C44" i="11" s="1"/>
  <c r="V32" i="11"/>
  <c r="K32" i="11"/>
  <c r="K31" i="11"/>
  <c r="K30" i="11"/>
  <c r="U17" i="11"/>
  <c r="T17" i="11"/>
  <c r="S17" i="11"/>
  <c r="R17" i="11"/>
  <c r="Q17" i="11"/>
  <c r="P17" i="11"/>
  <c r="O17" i="11"/>
  <c r="N17" i="11"/>
  <c r="V16" i="11"/>
  <c r="K16" i="11"/>
  <c r="V15" i="11"/>
  <c r="J15" i="11"/>
  <c r="I15" i="11"/>
  <c r="H15" i="11"/>
  <c r="G15" i="11"/>
  <c r="F15" i="11"/>
  <c r="E15" i="11"/>
  <c r="D15" i="11"/>
  <c r="C15" i="11"/>
  <c r="J14" i="11"/>
  <c r="J141" i="11" s="1"/>
  <c r="I14" i="11"/>
  <c r="H14" i="11"/>
  <c r="H141" i="11" s="1"/>
  <c r="G14" i="11"/>
  <c r="G141" i="11" s="1"/>
  <c r="F14" i="11"/>
  <c r="F141" i="11" s="1"/>
  <c r="E14" i="11"/>
  <c r="E141" i="11" s="1"/>
  <c r="D14" i="11"/>
  <c r="D141" i="11" s="1"/>
  <c r="C14" i="11"/>
  <c r="C141" i="11" s="1"/>
  <c r="J13" i="11"/>
  <c r="J140" i="11" s="1"/>
  <c r="I13" i="11"/>
  <c r="I140" i="11" s="1"/>
  <c r="H13" i="11"/>
  <c r="H140" i="11" s="1"/>
  <c r="G13" i="11"/>
  <c r="G140" i="11" s="1"/>
  <c r="F13" i="11"/>
  <c r="F140" i="11" s="1"/>
  <c r="E13" i="11"/>
  <c r="E140" i="11" s="1"/>
  <c r="D13" i="11"/>
  <c r="D140" i="11" s="1"/>
  <c r="C13" i="11"/>
  <c r="C140" i="11" s="1"/>
  <c r="K12" i="11"/>
  <c r="I10" i="11"/>
  <c r="H10" i="11"/>
  <c r="G10" i="11"/>
  <c r="F10" i="11"/>
  <c r="E10" i="11"/>
  <c r="D10" i="11"/>
  <c r="C10" i="11"/>
  <c r="B10" i="11"/>
  <c r="B11" i="11" s="1"/>
  <c r="B17" i="11" s="1"/>
  <c r="B18" i="11" s="1"/>
  <c r="U6" i="11"/>
  <c r="T6" i="11"/>
  <c r="S6" i="11"/>
  <c r="R6" i="11"/>
  <c r="Q6" i="11"/>
  <c r="P6" i="11"/>
  <c r="O6" i="11"/>
  <c r="N6" i="11"/>
  <c r="K9" i="11"/>
  <c r="V5" i="11"/>
  <c r="J7" i="11"/>
  <c r="J133" i="11" s="1"/>
  <c r="I7" i="11"/>
  <c r="I133" i="11" s="1"/>
  <c r="H7" i="11"/>
  <c r="H133" i="11" s="1"/>
  <c r="G7" i="11"/>
  <c r="G133" i="11" s="1"/>
  <c r="F7" i="11"/>
  <c r="F133" i="11" s="1"/>
  <c r="E7" i="11"/>
  <c r="E133" i="11" s="1"/>
  <c r="D7" i="11"/>
  <c r="D133" i="11" s="1"/>
  <c r="C7" i="11"/>
  <c r="C133" i="11" s="1"/>
  <c r="K6" i="11"/>
  <c r="K5" i="11"/>
  <c r="K4" i="11"/>
  <c r="G33" i="7"/>
  <c r="H115" i="10"/>
  <c r="G115" i="10"/>
  <c r="F115" i="10"/>
  <c r="E115" i="10"/>
  <c r="D115" i="10"/>
  <c r="C115" i="10"/>
  <c r="K115" i="10" s="1"/>
  <c r="I90" i="10"/>
  <c r="H90" i="10"/>
  <c r="H140" i="10" s="1"/>
  <c r="G90" i="10"/>
  <c r="F90" i="10"/>
  <c r="E90" i="10"/>
  <c r="D90" i="10"/>
  <c r="C90" i="10"/>
  <c r="J65" i="10"/>
  <c r="I65" i="10"/>
  <c r="H65" i="10"/>
  <c r="G65" i="10"/>
  <c r="D65" i="10"/>
  <c r="C65" i="10"/>
  <c r="I40" i="10"/>
  <c r="H40" i="10"/>
  <c r="G40" i="10"/>
  <c r="F40" i="10"/>
  <c r="D40" i="10"/>
  <c r="C40" i="10"/>
  <c r="N42" i="10"/>
  <c r="O42" i="10"/>
  <c r="D41" i="10" s="1"/>
  <c r="P42" i="10"/>
  <c r="Q42" i="10"/>
  <c r="F41" i="10" s="1"/>
  <c r="R42" i="10"/>
  <c r="S42" i="10"/>
  <c r="H41" i="10" s="1"/>
  <c r="T42" i="10"/>
  <c r="U42" i="10"/>
  <c r="J41" i="10" s="1"/>
  <c r="I33" i="7"/>
  <c r="J14" i="10"/>
  <c r="I14" i="10"/>
  <c r="H14" i="10"/>
  <c r="G14" i="10"/>
  <c r="F14" i="10"/>
  <c r="E14" i="10"/>
  <c r="D14" i="10"/>
  <c r="C14" i="10"/>
  <c r="J143" i="10"/>
  <c r="I143" i="10"/>
  <c r="H143" i="10"/>
  <c r="G143" i="10"/>
  <c r="F143" i="10"/>
  <c r="E143" i="10"/>
  <c r="D143" i="10"/>
  <c r="C143" i="10"/>
  <c r="B143" i="10"/>
  <c r="B141" i="10"/>
  <c r="B140" i="10"/>
  <c r="I139" i="10"/>
  <c r="H139" i="10"/>
  <c r="G139" i="10"/>
  <c r="F139" i="10"/>
  <c r="E139" i="10"/>
  <c r="D139" i="10"/>
  <c r="C139" i="10"/>
  <c r="B139" i="10"/>
  <c r="J136" i="10"/>
  <c r="I137" i="10" s="1"/>
  <c r="I136" i="10"/>
  <c r="H137" i="10" s="1"/>
  <c r="H136" i="10"/>
  <c r="G137" i="10" s="1"/>
  <c r="G136" i="10"/>
  <c r="F137" i="10" s="1"/>
  <c r="F136" i="10"/>
  <c r="E137" i="10" s="1"/>
  <c r="E136" i="10"/>
  <c r="D137" i="10" s="1"/>
  <c r="D136" i="10"/>
  <c r="C137" i="10" s="1"/>
  <c r="C136" i="10"/>
  <c r="J134" i="10"/>
  <c r="I134" i="10"/>
  <c r="H134" i="10"/>
  <c r="G134" i="10"/>
  <c r="F134" i="10"/>
  <c r="E134" i="10"/>
  <c r="D134" i="10"/>
  <c r="C134" i="10"/>
  <c r="J142" i="10"/>
  <c r="I142" i="10"/>
  <c r="H142" i="10"/>
  <c r="G142" i="10"/>
  <c r="F142" i="10"/>
  <c r="E142" i="10"/>
  <c r="D142" i="10"/>
  <c r="C142" i="10"/>
  <c r="J130" i="10"/>
  <c r="I130" i="10"/>
  <c r="H130" i="10"/>
  <c r="G130" i="10"/>
  <c r="F130" i="10"/>
  <c r="E130" i="10"/>
  <c r="D130" i="10"/>
  <c r="C130" i="10"/>
  <c r="K118" i="10"/>
  <c r="U117" i="10"/>
  <c r="J116" i="10" s="1"/>
  <c r="T117" i="10"/>
  <c r="S117" i="10"/>
  <c r="H116" i="10" s="1"/>
  <c r="R117" i="10"/>
  <c r="G116" i="10" s="1"/>
  <c r="Q117" i="10"/>
  <c r="F116" i="10" s="1"/>
  <c r="P117" i="10"/>
  <c r="O117" i="10"/>
  <c r="N117" i="10"/>
  <c r="J117" i="10"/>
  <c r="I117" i="10"/>
  <c r="H117" i="10"/>
  <c r="G117" i="10"/>
  <c r="F117" i="10"/>
  <c r="E117" i="10"/>
  <c r="D117" i="10"/>
  <c r="C117" i="10"/>
  <c r="K117" i="10" s="1"/>
  <c r="V116" i="10"/>
  <c r="I116" i="10"/>
  <c r="E116" i="10"/>
  <c r="D116" i="10"/>
  <c r="C116" i="10"/>
  <c r="V115" i="10"/>
  <c r="J115" i="10"/>
  <c r="I115" i="10"/>
  <c r="K114" i="10"/>
  <c r="I112" i="10"/>
  <c r="H112" i="10"/>
  <c r="G112" i="10"/>
  <c r="F112" i="10"/>
  <c r="E112" i="10"/>
  <c r="D112" i="10"/>
  <c r="C112" i="10"/>
  <c r="B112" i="10"/>
  <c r="K111" i="10"/>
  <c r="U109" i="10"/>
  <c r="T109" i="10"/>
  <c r="S109" i="10"/>
  <c r="R109" i="10"/>
  <c r="Q109" i="10"/>
  <c r="P109" i="10"/>
  <c r="O109" i="10"/>
  <c r="N109" i="10"/>
  <c r="K109" i="10"/>
  <c r="V108" i="10"/>
  <c r="J108" i="10"/>
  <c r="J110" i="10" s="1"/>
  <c r="J113" i="10" s="1"/>
  <c r="I108" i="10"/>
  <c r="I110" i="10" s="1"/>
  <c r="I113" i="10" s="1"/>
  <c r="I119" i="10" s="1"/>
  <c r="H108" i="10"/>
  <c r="H110" i="10" s="1"/>
  <c r="H113" i="10" s="1"/>
  <c r="G108" i="10"/>
  <c r="G110" i="10" s="1"/>
  <c r="G113" i="10" s="1"/>
  <c r="F108" i="10"/>
  <c r="F110" i="10" s="1"/>
  <c r="F113" i="10" s="1"/>
  <c r="E108" i="10"/>
  <c r="E110" i="10" s="1"/>
  <c r="E113" i="10" s="1"/>
  <c r="E119" i="10" s="1"/>
  <c r="D108" i="10"/>
  <c r="D110" i="10" s="1"/>
  <c r="D113" i="10" s="1"/>
  <c r="C108" i="10"/>
  <c r="C110" i="10" s="1"/>
  <c r="C113" i="10" s="1"/>
  <c r="V107" i="10"/>
  <c r="K107" i="10"/>
  <c r="K106" i="10"/>
  <c r="K105" i="10"/>
  <c r="K93" i="10"/>
  <c r="U92" i="10"/>
  <c r="T92" i="10"/>
  <c r="S92" i="10"/>
  <c r="R92" i="10"/>
  <c r="G91" i="10" s="1"/>
  <c r="Q92" i="10"/>
  <c r="F91" i="10" s="1"/>
  <c r="P92" i="10"/>
  <c r="E91" i="10" s="1"/>
  <c r="O92" i="10"/>
  <c r="N92" i="10"/>
  <c r="J92" i="10"/>
  <c r="I92" i="10"/>
  <c r="H92" i="10"/>
  <c r="G92" i="10"/>
  <c r="F92" i="10"/>
  <c r="E92" i="10"/>
  <c r="D92" i="10"/>
  <c r="C92" i="10"/>
  <c r="K92" i="10" s="1"/>
  <c r="V91" i="10"/>
  <c r="J91" i="10"/>
  <c r="I91" i="10"/>
  <c r="H91" i="10"/>
  <c r="D91" i="10"/>
  <c r="C91" i="10"/>
  <c r="V90" i="10"/>
  <c r="J90" i="10"/>
  <c r="K89" i="10"/>
  <c r="J89" i="10"/>
  <c r="J139" i="10" s="1"/>
  <c r="I87" i="10"/>
  <c r="H87" i="10"/>
  <c r="G87" i="10"/>
  <c r="F87" i="10"/>
  <c r="E87" i="10"/>
  <c r="D87" i="10"/>
  <c r="C87" i="10"/>
  <c r="B87" i="10"/>
  <c r="K86" i="10"/>
  <c r="U84" i="10"/>
  <c r="T84" i="10"/>
  <c r="S84" i="10"/>
  <c r="R84" i="10"/>
  <c r="Q84" i="10"/>
  <c r="P84" i="10"/>
  <c r="O84" i="10"/>
  <c r="N84" i="10"/>
  <c r="K84" i="10"/>
  <c r="V83" i="10"/>
  <c r="J83" i="10"/>
  <c r="J85" i="10" s="1"/>
  <c r="J88" i="10" s="1"/>
  <c r="J94" i="10" s="1"/>
  <c r="I83" i="10"/>
  <c r="I85" i="10" s="1"/>
  <c r="I88" i="10" s="1"/>
  <c r="I94" i="10" s="1"/>
  <c r="H83" i="10"/>
  <c r="H85" i="10" s="1"/>
  <c r="H88" i="10" s="1"/>
  <c r="H94" i="10" s="1"/>
  <c r="G83" i="10"/>
  <c r="G85" i="10" s="1"/>
  <c r="G88" i="10" s="1"/>
  <c r="F83" i="10"/>
  <c r="F85" i="10" s="1"/>
  <c r="F88" i="10" s="1"/>
  <c r="E83" i="10"/>
  <c r="E85" i="10" s="1"/>
  <c r="E88" i="10" s="1"/>
  <c r="D83" i="10"/>
  <c r="D85" i="10" s="1"/>
  <c r="D88" i="10" s="1"/>
  <c r="D94" i="10" s="1"/>
  <c r="C83" i="10"/>
  <c r="C85" i="10" s="1"/>
  <c r="C88" i="10" s="1"/>
  <c r="C94" i="10" s="1"/>
  <c r="V82" i="10"/>
  <c r="K82" i="10"/>
  <c r="K81" i="10"/>
  <c r="K80" i="10"/>
  <c r="K68" i="10"/>
  <c r="U67" i="10"/>
  <c r="J66" i="10" s="1"/>
  <c r="T67" i="10"/>
  <c r="S67" i="10"/>
  <c r="H66" i="10" s="1"/>
  <c r="R67" i="10"/>
  <c r="G66" i="10" s="1"/>
  <c r="Q67" i="10"/>
  <c r="F66" i="10" s="1"/>
  <c r="P67" i="10"/>
  <c r="O67" i="10"/>
  <c r="D66" i="10" s="1"/>
  <c r="N67" i="10"/>
  <c r="C66" i="10" s="1"/>
  <c r="J67" i="10"/>
  <c r="I67" i="10"/>
  <c r="H67" i="10"/>
  <c r="G67" i="10"/>
  <c r="F67" i="10"/>
  <c r="E67" i="10"/>
  <c r="D67" i="10"/>
  <c r="C67" i="10"/>
  <c r="K67" i="10" s="1"/>
  <c r="V66" i="10"/>
  <c r="I66" i="10"/>
  <c r="E66" i="10"/>
  <c r="V65" i="10"/>
  <c r="K64" i="10"/>
  <c r="I62" i="10"/>
  <c r="H62" i="10"/>
  <c r="G62" i="10"/>
  <c r="F62" i="10"/>
  <c r="E62" i="10"/>
  <c r="D62" i="10"/>
  <c r="C62" i="10"/>
  <c r="B62" i="10"/>
  <c r="B63" i="10" s="1"/>
  <c r="B69" i="10" s="1"/>
  <c r="B70" i="10" s="1"/>
  <c r="K61" i="10"/>
  <c r="U59" i="10"/>
  <c r="T59" i="10"/>
  <c r="S59" i="10"/>
  <c r="R59" i="10"/>
  <c r="Q59" i="10"/>
  <c r="P59" i="10"/>
  <c r="O59" i="10"/>
  <c r="N59" i="10"/>
  <c r="K59" i="10"/>
  <c r="V58" i="10"/>
  <c r="J58" i="10"/>
  <c r="J60" i="10" s="1"/>
  <c r="J63" i="10" s="1"/>
  <c r="I58" i="10"/>
  <c r="I60" i="10" s="1"/>
  <c r="I63" i="10" s="1"/>
  <c r="I69" i="10" s="1"/>
  <c r="H58" i="10"/>
  <c r="H60" i="10" s="1"/>
  <c r="H63" i="10" s="1"/>
  <c r="G58" i="10"/>
  <c r="G60" i="10" s="1"/>
  <c r="G63" i="10" s="1"/>
  <c r="F60" i="10"/>
  <c r="F63" i="10" s="1"/>
  <c r="E60" i="10"/>
  <c r="E63" i="10" s="1"/>
  <c r="E69" i="10" s="1"/>
  <c r="D58" i="10"/>
  <c r="D60" i="10" s="1"/>
  <c r="D63" i="10" s="1"/>
  <c r="C58" i="10"/>
  <c r="V57" i="10"/>
  <c r="K57" i="10"/>
  <c r="K56" i="10"/>
  <c r="K55" i="10"/>
  <c r="K43" i="10"/>
  <c r="J42" i="10"/>
  <c r="I42" i="10"/>
  <c r="H42" i="10"/>
  <c r="G42" i="10"/>
  <c r="F42" i="10"/>
  <c r="E42" i="10"/>
  <c r="D42" i="10"/>
  <c r="C42" i="10"/>
  <c r="K42" i="10" s="1"/>
  <c r="V41" i="10"/>
  <c r="I41" i="10"/>
  <c r="G41" i="10"/>
  <c r="E41" i="10"/>
  <c r="C41" i="10"/>
  <c r="V40" i="10"/>
  <c r="K39" i="10"/>
  <c r="I37" i="10"/>
  <c r="H37" i="10"/>
  <c r="G37" i="10"/>
  <c r="F37" i="10"/>
  <c r="E37" i="10"/>
  <c r="D37" i="10"/>
  <c r="C37" i="10"/>
  <c r="B37" i="10"/>
  <c r="K37" i="10" s="1"/>
  <c r="K36" i="10"/>
  <c r="U34" i="10"/>
  <c r="T34" i="10"/>
  <c r="S34" i="10"/>
  <c r="R34" i="10"/>
  <c r="Q34" i="10"/>
  <c r="P34" i="10"/>
  <c r="O34" i="10"/>
  <c r="N34" i="10"/>
  <c r="K34" i="10"/>
  <c r="V33" i="10"/>
  <c r="J33" i="10"/>
  <c r="J35" i="10" s="1"/>
  <c r="J38" i="10" s="1"/>
  <c r="I33" i="10"/>
  <c r="I35" i="10" s="1"/>
  <c r="I38" i="10" s="1"/>
  <c r="H33" i="10"/>
  <c r="H35" i="10" s="1"/>
  <c r="H38" i="10" s="1"/>
  <c r="G33" i="10"/>
  <c r="G35" i="10" s="1"/>
  <c r="G38" i="10" s="1"/>
  <c r="F33" i="10"/>
  <c r="F35" i="10" s="1"/>
  <c r="F38" i="10" s="1"/>
  <c r="E33" i="10"/>
  <c r="E35" i="10" s="1"/>
  <c r="E38" i="10" s="1"/>
  <c r="D33" i="10"/>
  <c r="D35" i="10" s="1"/>
  <c r="D38" i="10" s="1"/>
  <c r="C33" i="10"/>
  <c r="C35" i="10" s="1"/>
  <c r="C38" i="10" s="1"/>
  <c r="V32" i="10"/>
  <c r="K32" i="10"/>
  <c r="K31" i="10"/>
  <c r="K30" i="10"/>
  <c r="U18" i="10"/>
  <c r="J15" i="10" s="1"/>
  <c r="T18" i="10"/>
  <c r="I15" i="10" s="1"/>
  <c r="S18" i="10"/>
  <c r="H15" i="10" s="1"/>
  <c r="R18" i="10"/>
  <c r="G15" i="10" s="1"/>
  <c r="Q18" i="10"/>
  <c r="F15" i="10" s="1"/>
  <c r="P18" i="10"/>
  <c r="O18" i="10"/>
  <c r="D15" i="10" s="1"/>
  <c r="N18" i="10"/>
  <c r="V17" i="10"/>
  <c r="K17" i="10"/>
  <c r="V16" i="10"/>
  <c r="J16" i="10"/>
  <c r="I16" i="10"/>
  <c r="H16" i="10"/>
  <c r="G16" i="10"/>
  <c r="F16" i="10"/>
  <c r="E16" i="10"/>
  <c r="D16" i="10"/>
  <c r="C16" i="10"/>
  <c r="E15" i="10"/>
  <c r="C15" i="10"/>
  <c r="J140" i="10"/>
  <c r="I140" i="10"/>
  <c r="G140" i="10"/>
  <c r="F140" i="10"/>
  <c r="E140" i="10"/>
  <c r="D140" i="10"/>
  <c r="K13" i="10"/>
  <c r="I11" i="10"/>
  <c r="H11" i="10"/>
  <c r="G11" i="10"/>
  <c r="F11" i="10"/>
  <c r="E11" i="10"/>
  <c r="D11" i="10"/>
  <c r="C11" i="10"/>
  <c r="B11" i="10"/>
  <c r="B12" i="10" s="1"/>
  <c r="B18" i="10" s="1"/>
  <c r="B19" i="10" s="1"/>
  <c r="U10" i="10"/>
  <c r="T10" i="10"/>
  <c r="S10" i="10"/>
  <c r="R10" i="10"/>
  <c r="Q10" i="10"/>
  <c r="P10" i="10"/>
  <c r="O10" i="10"/>
  <c r="N10" i="10"/>
  <c r="K10" i="10"/>
  <c r="V9" i="10"/>
  <c r="V8" i="10"/>
  <c r="K8" i="10"/>
  <c r="J133" i="10"/>
  <c r="I133" i="10"/>
  <c r="H133" i="10"/>
  <c r="G133" i="10"/>
  <c r="F133" i="10"/>
  <c r="E133" i="10"/>
  <c r="D133" i="10"/>
  <c r="C133" i="10"/>
  <c r="K6" i="10"/>
  <c r="K5" i="10"/>
  <c r="K4" i="10"/>
  <c r="K87" i="10" l="1"/>
  <c r="K16" i="10"/>
  <c r="K142" i="10"/>
  <c r="K131" i="10"/>
  <c r="I44" i="11"/>
  <c r="I141" i="11"/>
  <c r="C8" i="11"/>
  <c r="I8" i="11"/>
  <c r="G8" i="11"/>
  <c r="E8" i="11"/>
  <c r="J8" i="11"/>
  <c r="H8" i="11"/>
  <c r="F8" i="11"/>
  <c r="D8" i="11"/>
  <c r="K23" i="11"/>
  <c r="K91" i="11"/>
  <c r="K15" i="11"/>
  <c r="K89" i="11"/>
  <c r="K67" i="11"/>
  <c r="K115" i="11"/>
  <c r="K40" i="11"/>
  <c r="K41" i="11"/>
  <c r="K58" i="11"/>
  <c r="K60" i="11" s="1"/>
  <c r="K134" i="11"/>
  <c r="B21" i="11"/>
  <c r="K133" i="11"/>
  <c r="K7" i="11"/>
  <c r="K8" i="11" s="1"/>
  <c r="D11" i="11"/>
  <c r="D17" i="11" s="1"/>
  <c r="D18" i="11" s="1"/>
  <c r="F11" i="11"/>
  <c r="F17" i="11" s="1"/>
  <c r="H11" i="11"/>
  <c r="H17" i="11" s="1"/>
  <c r="H18" i="11" s="1"/>
  <c r="J11" i="11"/>
  <c r="J17" i="11" s="1"/>
  <c r="K10" i="11"/>
  <c r="K13" i="11"/>
  <c r="F18" i="11"/>
  <c r="J18" i="11"/>
  <c r="K33" i="11"/>
  <c r="K35" i="11" s="1"/>
  <c r="K38" i="11" s="1"/>
  <c r="B38" i="11"/>
  <c r="B44" i="11" s="1"/>
  <c r="B45" i="11" s="1"/>
  <c r="D45" i="11"/>
  <c r="D48" i="11" s="1"/>
  <c r="F45" i="11"/>
  <c r="F48" i="11" s="1"/>
  <c r="H45" i="11"/>
  <c r="H48" i="11" s="1"/>
  <c r="B73" i="11"/>
  <c r="D70" i="11"/>
  <c r="D73" i="11" s="1"/>
  <c r="F70" i="11"/>
  <c r="F73" i="11" s="1"/>
  <c r="H70" i="11"/>
  <c r="H73" i="11" s="1"/>
  <c r="J70" i="11"/>
  <c r="J73" i="11" s="1"/>
  <c r="D95" i="11"/>
  <c r="D98" i="11" s="1"/>
  <c r="F95" i="11"/>
  <c r="F98" i="11" s="1"/>
  <c r="H95" i="11"/>
  <c r="H98" i="11" s="1"/>
  <c r="C11" i="11"/>
  <c r="C17" i="11" s="1"/>
  <c r="C18" i="11" s="1"/>
  <c r="E11" i="11"/>
  <c r="E17" i="11" s="1"/>
  <c r="E18" i="11" s="1"/>
  <c r="G11" i="11"/>
  <c r="G17" i="11" s="1"/>
  <c r="G18" i="11" s="1"/>
  <c r="I11" i="11"/>
  <c r="I17" i="11" s="1"/>
  <c r="I18" i="11" s="1"/>
  <c r="K14" i="11"/>
  <c r="C45" i="11"/>
  <c r="C48" i="11" s="1"/>
  <c r="E45" i="11"/>
  <c r="E48" i="11" s="1"/>
  <c r="G45" i="11"/>
  <c r="G48" i="11" s="1"/>
  <c r="I45" i="11"/>
  <c r="I48" i="11" s="1"/>
  <c r="J45" i="11"/>
  <c r="J48" i="11" s="1"/>
  <c r="E70" i="11"/>
  <c r="E73" i="11" s="1"/>
  <c r="G70" i="11"/>
  <c r="G73" i="11" s="1"/>
  <c r="I70" i="11"/>
  <c r="I73" i="11" s="1"/>
  <c r="C95" i="11"/>
  <c r="C98" i="11" s="1"/>
  <c r="E95" i="11"/>
  <c r="E98" i="11" s="1"/>
  <c r="G95" i="11"/>
  <c r="G98" i="11" s="1"/>
  <c r="I95" i="11"/>
  <c r="I98" i="11" s="1"/>
  <c r="C60" i="11"/>
  <c r="C63" i="11" s="1"/>
  <c r="C69" i="11" s="1"/>
  <c r="C70" i="11" s="1"/>
  <c r="K62" i="11"/>
  <c r="K65" i="11"/>
  <c r="K83" i="11"/>
  <c r="K85" i="11" s="1"/>
  <c r="K88" i="11" s="1"/>
  <c r="B88" i="11"/>
  <c r="B94" i="11" s="1"/>
  <c r="B95" i="11" s="1"/>
  <c r="K90" i="11"/>
  <c r="J95" i="11"/>
  <c r="J98" i="11" s="1"/>
  <c r="E120" i="11"/>
  <c r="E123" i="11" s="1"/>
  <c r="G120" i="11"/>
  <c r="G123" i="11" s="1"/>
  <c r="I120" i="11"/>
  <c r="I123" i="11" s="1"/>
  <c r="D135" i="11"/>
  <c r="D138" i="11" s="1"/>
  <c r="D144" i="11" s="1"/>
  <c r="F135" i="11"/>
  <c r="F138" i="11" s="1"/>
  <c r="F144" i="11" s="1"/>
  <c r="H135" i="11"/>
  <c r="H138" i="11" s="1"/>
  <c r="H144" i="11" s="1"/>
  <c r="J135" i="11"/>
  <c r="J138" i="11" s="1"/>
  <c r="J144" i="11" s="1"/>
  <c r="J145" i="11" s="1"/>
  <c r="J148" i="11" s="1"/>
  <c r="K141" i="11"/>
  <c r="D120" i="11"/>
  <c r="D123" i="11" s="1"/>
  <c r="F120" i="11"/>
  <c r="F123" i="11" s="1"/>
  <c r="H120" i="11"/>
  <c r="H123" i="11" s="1"/>
  <c r="J120" i="11"/>
  <c r="J123" i="11" s="1"/>
  <c r="E135" i="11"/>
  <c r="E138" i="11" s="1"/>
  <c r="E144" i="11" s="1"/>
  <c r="E145" i="11" s="1"/>
  <c r="E148" i="11" s="1"/>
  <c r="G135" i="11"/>
  <c r="G138" i="11" s="1"/>
  <c r="G144" i="11" s="1"/>
  <c r="G145" i="11" s="1"/>
  <c r="G148" i="11" s="1"/>
  <c r="I135" i="11"/>
  <c r="I138" i="11" s="1"/>
  <c r="I144" i="11" s="1"/>
  <c r="I145" i="11" s="1"/>
  <c r="I148" i="11" s="1"/>
  <c r="D145" i="11"/>
  <c r="D148" i="11" s="1"/>
  <c r="F145" i="11"/>
  <c r="F148" i="11" s="1"/>
  <c r="H145" i="11"/>
  <c r="H148" i="11" s="1"/>
  <c r="K140" i="11"/>
  <c r="K108" i="11"/>
  <c r="K110" i="11" s="1"/>
  <c r="K113" i="11" s="1"/>
  <c r="K119" i="11" s="1"/>
  <c r="B113" i="11"/>
  <c r="B119" i="11" s="1"/>
  <c r="B120" i="11" s="1"/>
  <c r="C120" i="11"/>
  <c r="C123" i="11" s="1"/>
  <c r="C135" i="11"/>
  <c r="C138" i="11" s="1"/>
  <c r="C144" i="11" s="1"/>
  <c r="C145" i="11" s="1"/>
  <c r="C148" i="11" s="1"/>
  <c r="B137" i="11"/>
  <c r="K139" i="11"/>
  <c r="K132" i="11"/>
  <c r="K135" i="11" s="1"/>
  <c r="G119" i="10"/>
  <c r="D119" i="10"/>
  <c r="C140" i="10"/>
  <c r="C119" i="10"/>
  <c r="K112" i="10"/>
  <c r="J119" i="10"/>
  <c r="H119" i="10"/>
  <c r="F119" i="10"/>
  <c r="K116" i="10"/>
  <c r="G94" i="10"/>
  <c r="F94" i="10"/>
  <c r="K91" i="10"/>
  <c r="E94" i="10"/>
  <c r="G69" i="10"/>
  <c r="C141" i="10"/>
  <c r="K58" i="10"/>
  <c r="K60" i="10" s="1"/>
  <c r="J69" i="10"/>
  <c r="H69" i="10"/>
  <c r="F69" i="10"/>
  <c r="D69" i="10"/>
  <c r="K66" i="10"/>
  <c r="D141" i="10"/>
  <c r="F141" i="10"/>
  <c r="H141" i="10"/>
  <c r="J141" i="10"/>
  <c r="D44" i="10"/>
  <c r="D45" i="10" s="1"/>
  <c r="D48" i="10" s="1"/>
  <c r="F44" i="10"/>
  <c r="F45" i="10" s="1"/>
  <c r="F48" i="10" s="1"/>
  <c r="H44" i="10"/>
  <c r="H45" i="10" s="1"/>
  <c r="H48" i="10" s="1"/>
  <c r="J44" i="10"/>
  <c r="J45" i="10" s="1"/>
  <c r="J48" i="10" s="1"/>
  <c r="K41" i="10"/>
  <c r="E141" i="10"/>
  <c r="G141" i="10"/>
  <c r="I141" i="10"/>
  <c r="C44" i="10"/>
  <c r="E44" i="10"/>
  <c r="E45" i="10" s="1"/>
  <c r="E48" i="10" s="1"/>
  <c r="G44" i="10"/>
  <c r="G45" i="10" s="1"/>
  <c r="G48" i="10" s="1"/>
  <c r="I44" i="10"/>
  <c r="I45" i="10" s="1"/>
  <c r="I48" i="10" s="1"/>
  <c r="K133" i="10"/>
  <c r="K143" i="10"/>
  <c r="K136" i="10"/>
  <c r="K134" i="10"/>
  <c r="K130" i="10"/>
  <c r="B22" i="10"/>
  <c r="K7" i="10"/>
  <c r="K9" i="10" s="1"/>
  <c r="D9" i="10"/>
  <c r="D12" i="10" s="1"/>
  <c r="D18" i="10" s="1"/>
  <c r="F9" i="10"/>
  <c r="F12" i="10" s="1"/>
  <c r="F18" i="10" s="1"/>
  <c r="H9" i="10"/>
  <c r="H12" i="10" s="1"/>
  <c r="H18" i="10" s="1"/>
  <c r="J9" i="10"/>
  <c r="J12" i="10" s="1"/>
  <c r="J18" i="10" s="1"/>
  <c r="K11" i="10"/>
  <c r="K14" i="10"/>
  <c r="D19" i="10"/>
  <c r="D22" i="10" s="1"/>
  <c r="F19" i="10"/>
  <c r="F22" i="10" s="1"/>
  <c r="H19" i="10"/>
  <c r="H22" i="10" s="1"/>
  <c r="J19" i="10"/>
  <c r="J22" i="10" s="1"/>
  <c r="K33" i="10"/>
  <c r="K35" i="10" s="1"/>
  <c r="K38" i="10" s="1"/>
  <c r="B38" i="10"/>
  <c r="B44" i="10" s="1"/>
  <c r="B45" i="10" s="1"/>
  <c r="B73" i="10"/>
  <c r="D70" i="10"/>
  <c r="D73" i="10" s="1"/>
  <c r="F70" i="10"/>
  <c r="F73" i="10" s="1"/>
  <c r="H70" i="10"/>
  <c r="H73" i="10" s="1"/>
  <c r="J70" i="10"/>
  <c r="J73" i="10" s="1"/>
  <c r="D95" i="10"/>
  <c r="D98" i="10" s="1"/>
  <c r="F95" i="10"/>
  <c r="F98" i="10" s="1"/>
  <c r="H95" i="10"/>
  <c r="H98" i="10" s="1"/>
  <c r="C9" i="10"/>
  <c r="C12" i="10" s="1"/>
  <c r="C18" i="10" s="1"/>
  <c r="C19" i="10" s="1"/>
  <c r="E9" i="10"/>
  <c r="E12" i="10" s="1"/>
  <c r="E18" i="10" s="1"/>
  <c r="G9" i="10"/>
  <c r="G12" i="10" s="1"/>
  <c r="G18" i="10" s="1"/>
  <c r="G19" i="10" s="1"/>
  <c r="G22" i="10" s="1"/>
  <c r="I9" i="10"/>
  <c r="I12" i="10" s="1"/>
  <c r="I18" i="10" s="1"/>
  <c r="K15" i="10"/>
  <c r="E19" i="10"/>
  <c r="E22" i="10" s="1"/>
  <c r="C45" i="10"/>
  <c r="C48" i="10" s="1"/>
  <c r="K40" i="10"/>
  <c r="E70" i="10"/>
  <c r="E73" i="10" s="1"/>
  <c r="G70" i="10"/>
  <c r="G73" i="10" s="1"/>
  <c r="I70" i="10"/>
  <c r="I73" i="10" s="1"/>
  <c r="C95" i="10"/>
  <c r="C98" i="10" s="1"/>
  <c r="E95" i="10"/>
  <c r="E98" i="10" s="1"/>
  <c r="G95" i="10"/>
  <c r="G98" i="10" s="1"/>
  <c r="I95" i="10"/>
  <c r="I98" i="10" s="1"/>
  <c r="C60" i="10"/>
  <c r="C63" i="10" s="1"/>
  <c r="C69" i="10" s="1"/>
  <c r="C70" i="10" s="1"/>
  <c r="K62" i="10"/>
  <c r="K65" i="10"/>
  <c r="K83" i="10"/>
  <c r="K85" i="10" s="1"/>
  <c r="K88" i="10" s="1"/>
  <c r="B88" i="10"/>
  <c r="B94" i="10" s="1"/>
  <c r="B95" i="10" s="1"/>
  <c r="K90" i="10"/>
  <c r="J95" i="10"/>
  <c r="J98" i="10" s="1"/>
  <c r="E120" i="10"/>
  <c r="E123" i="10" s="1"/>
  <c r="G120" i="10"/>
  <c r="G123" i="10" s="1"/>
  <c r="I120" i="10"/>
  <c r="I123" i="10" s="1"/>
  <c r="D135" i="10"/>
  <c r="D138" i="10" s="1"/>
  <c r="D144" i="10" s="1"/>
  <c r="D145" i="10" s="1"/>
  <c r="D148" i="10" s="1"/>
  <c r="F135" i="10"/>
  <c r="F138" i="10" s="1"/>
  <c r="F144" i="10" s="1"/>
  <c r="F145" i="10" s="1"/>
  <c r="F148" i="10" s="1"/>
  <c r="H135" i="10"/>
  <c r="H138" i="10" s="1"/>
  <c r="H144" i="10" s="1"/>
  <c r="H145" i="10" s="1"/>
  <c r="H148" i="10" s="1"/>
  <c r="J135" i="10"/>
  <c r="J138" i="10" s="1"/>
  <c r="J144" i="10" s="1"/>
  <c r="J145" i="10" s="1"/>
  <c r="J148" i="10" s="1"/>
  <c r="D120" i="10"/>
  <c r="D123" i="10" s="1"/>
  <c r="F120" i="10"/>
  <c r="F123" i="10" s="1"/>
  <c r="H120" i="10"/>
  <c r="H123" i="10" s="1"/>
  <c r="J120" i="10"/>
  <c r="J123" i="10" s="1"/>
  <c r="E135" i="10"/>
  <c r="E138" i="10" s="1"/>
  <c r="E144" i="10" s="1"/>
  <c r="E145" i="10" s="1"/>
  <c r="E148" i="10" s="1"/>
  <c r="G135" i="10"/>
  <c r="G138" i="10" s="1"/>
  <c r="G144" i="10" s="1"/>
  <c r="G145" i="10" s="1"/>
  <c r="G148" i="10" s="1"/>
  <c r="I135" i="10"/>
  <c r="I138" i="10" s="1"/>
  <c r="K140" i="10"/>
  <c r="K108" i="10"/>
  <c r="K110" i="10" s="1"/>
  <c r="K113" i="10" s="1"/>
  <c r="B113" i="10"/>
  <c r="B119" i="10" s="1"/>
  <c r="B120" i="10" s="1"/>
  <c r="C120" i="10"/>
  <c r="C123" i="10" s="1"/>
  <c r="C135" i="10"/>
  <c r="C138" i="10" s="1"/>
  <c r="C144" i="10" s="1"/>
  <c r="C145" i="10" s="1"/>
  <c r="C148" i="10" s="1"/>
  <c r="B137" i="10"/>
  <c r="K139" i="10"/>
  <c r="K132" i="10"/>
  <c r="G24" i="7"/>
  <c r="J90" i="9"/>
  <c r="I90" i="9"/>
  <c r="H90" i="9"/>
  <c r="G90" i="9"/>
  <c r="F90" i="9"/>
  <c r="E90" i="9"/>
  <c r="D90" i="9"/>
  <c r="C90" i="9"/>
  <c r="C139" i="9"/>
  <c r="D139" i="9"/>
  <c r="E139" i="9"/>
  <c r="F139" i="9"/>
  <c r="G139" i="9"/>
  <c r="H139" i="9"/>
  <c r="I139" i="9"/>
  <c r="J139" i="9"/>
  <c r="B139" i="9"/>
  <c r="G22" i="7"/>
  <c r="D116" i="9"/>
  <c r="E116" i="9"/>
  <c r="F116" i="9"/>
  <c r="G116" i="9"/>
  <c r="H116" i="9"/>
  <c r="I116" i="9"/>
  <c r="J116" i="9"/>
  <c r="C116" i="9"/>
  <c r="D108" i="9"/>
  <c r="E108" i="9"/>
  <c r="F108" i="9"/>
  <c r="G108" i="9"/>
  <c r="H108" i="9"/>
  <c r="I108" i="9"/>
  <c r="J108" i="9"/>
  <c r="C108" i="9"/>
  <c r="J115" i="9"/>
  <c r="I115" i="9"/>
  <c r="H115" i="9"/>
  <c r="G115" i="9"/>
  <c r="F115" i="9"/>
  <c r="E115" i="9"/>
  <c r="D115" i="9"/>
  <c r="C115" i="9"/>
  <c r="U117" i="9"/>
  <c r="T117" i="9"/>
  <c r="S117" i="9"/>
  <c r="R117" i="9"/>
  <c r="Q117" i="9"/>
  <c r="P117" i="9"/>
  <c r="O117" i="9"/>
  <c r="N117" i="9"/>
  <c r="V116" i="9"/>
  <c r="V115" i="9"/>
  <c r="U109" i="9"/>
  <c r="T109" i="9"/>
  <c r="S109" i="9"/>
  <c r="R109" i="9"/>
  <c r="Q109" i="9"/>
  <c r="P109" i="9"/>
  <c r="O109" i="9"/>
  <c r="N109" i="9"/>
  <c r="V108" i="9"/>
  <c r="V107" i="9"/>
  <c r="D91" i="9"/>
  <c r="E91" i="9"/>
  <c r="F91" i="9"/>
  <c r="G91" i="9"/>
  <c r="H91" i="9"/>
  <c r="I91" i="9"/>
  <c r="J91" i="9"/>
  <c r="C91" i="9"/>
  <c r="D83" i="9"/>
  <c r="E83" i="9"/>
  <c r="F83" i="9"/>
  <c r="G83" i="9"/>
  <c r="H83" i="9"/>
  <c r="I83" i="9"/>
  <c r="J83" i="9"/>
  <c r="C83" i="9"/>
  <c r="J89" i="9"/>
  <c r="U92" i="9"/>
  <c r="T92" i="9"/>
  <c r="S92" i="9"/>
  <c r="R92" i="9"/>
  <c r="Q92" i="9"/>
  <c r="P92" i="9"/>
  <c r="O92" i="9"/>
  <c r="N92" i="9"/>
  <c r="V91" i="9"/>
  <c r="V90" i="9"/>
  <c r="U84" i="9"/>
  <c r="T84" i="9"/>
  <c r="S84" i="9"/>
  <c r="R84" i="9"/>
  <c r="Q84" i="9"/>
  <c r="P84" i="9"/>
  <c r="O84" i="9"/>
  <c r="N84" i="9"/>
  <c r="V83" i="9"/>
  <c r="V82" i="9"/>
  <c r="I19" i="10" l="1"/>
  <c r="I22" i="10" s="1"/>
  <c r="K63" i="11"/>
  <c r="K44" i="11"/>
  <c r="K94" i="11"/>
  <c r="K69" i="11"/>
  <c r="K11" i="11"/>
  <c r="K17" i="11" s="1"/>
  <c r="C73" i="11"/>
  <c r="K73" i="11" s="1"/>
  <c r="K75" i="11" s="1"/>
  <c r="K76" i="11" s="1"/>
  <c r="K70" i="11"/>
  <c r="B138" i="11"/>
  <c r="B144" i="11" s="1"/>
  <c r="B145" i="11" s="1"/>
  <c r="K137" i="11"/>
  <c r="K138" i="11" s="1"/>
  <c r="K144" i="11" s="1"/>
  <c r="B123" i="11"/>
  <c r="K123" i="11" s="1"/>
  <c r="K125" i="11" s="1"/>
  <c r="K126" i="11" s="1"/>
  <c r="K120" i="11"/>
  <c r="B48" i="11"/>
  <c r="K48" i="11" s="1"/>
  <c r="K50" i="11" s="1"/>
  <c r="K51" i="11" s="1"/>
  <c r="K45" i="11"/>
  <c r="K18" i="11"/>
  <c r="K95" i="11"/>
  <c r="B98" i="11"/>
  <c r="K98" i="11" s="1"/>
  <c r="K100" i="11" s="1"/>
  <c r="K101" i="11" s="1"/>
  <c r="K21" i="11"/>
  <c r="K119" i="10"/>
  <c r="K141" i="10"/>
  <c r="K94" i="10"/>
  <c r="I144" i="10"/>
  <c r="I145" i="10" s="1"/>
  <c r="I148" i="10" s="1"/>
  <c r="K63" i="10"/>
  <c r="K69" i="10" s="1"/>
  <c r="K135" i="10"/>
  <c r="K44" i="10"/>
  <c r="C22" i="10"/>
  <c r="K19" i="10"/>
  <c r="C73" i="10"/>
  <c r="K73" i="10" s="1"/>
  <c r="K75" i="10" s="1"/>
  <c r="K76" i="10" s="1"/>
  <c r="G31" i="7" s="1"/>
  <c r="I31" i="7" s="1"/>
  <c r="K70" i="10"/>
  <c r="B123" i="10"/>
  <c r="K123" i="10" s="1"/>
  <c r="K125" i="10" s="1"/>
  <c r="K120" i="10"/>
  <c r="K12" i="10"/>
  <c r="K18" i="10" s="1"/>
  <c r="B138" i="10"/>
  <c r="B144" i="10" s="1"/>
  <c r="B145" i="10" s="1"/>
  <c r="K137" i="10"/>
  <c r="K138" i="10" s="1"/>
  <c r="K144" i="10" s="1"/>
  <c r="K95" i="10"/>
  <c r="B98" i="10"/>
  <c r="K98" i="10" s="1"/>
  <c r="K100" i="10" s="1"/>
  <c r="G32" i="7" s="1"/>
  <c r="I32" i="7" s="1"/>
  <c r="B48" i="10"/>
  <c r="K48" i="10" s="1"/>
  <c r="K50" i="10" s="1"/>
  <c r="K45" i="10"/>
  <c r="G20" i="7"/>
  <c r="D58" i="9"/>
  <c r="E58" i="9"/>
  <c r="F58" i="9"/>
  <c r="G58" i="9"/>
  <c r="H58" i="9"/>
  <c r="I58" i="9"/>
  <c r="J58" i="9"/>
  <c r="C58" i="9"/>
  <c r="D66" i="9"/>
  <c r="E66" i="9"/>
  <c r="F66" i="9"/>
  <c r="G66" i="9"/>
  <c r="H66" i="9"/>
  <c r="I66" i="9"/>
  <c r="J66" i="9"/>
  <c r="C66" i="9"/>
  <c r="J65" i="9"/>
  <c r="K65" i="9"/>
  <c r="I65" i="9"/>
  <c r="H65" i="9"/>
  <c r="G65" i="9"/>
  <c r="F65" i="9"/>
  <c r="E65" i="9"/>
  <c r="D65" i="9"/>
  <c r="C65" i="9"/>
  <c r="U67" i="9"/>
  <c r="T67" i="9"/>
  <c r="S67" i="9"/>
  <c r="R67" i="9"/>
  <c r="Q67" i="9"/>
  <c r="P67" i="9"/>
  <c r="O67" i="9"/>
  <c r="N67" i="9"/>
  <c r="V66" i="9"/>
  <c r="V65" i="9"/>
  <c r="U59" i="9"/>
  <c r="T59" i="9"/>
  <c r="S59" i="9"/>
  <c r="R59" i="9"/>
  <c r="Q59" i="9"/>
  <c r="P59" i="9"/>
  <c r="O59" i="9"/>
  <c r="N59" i="9"/>
  <c r="V58" i="9"/>
  <c r="V57" i="9"/>
  <c r="D41" i="9"/>
  <c r="E41" i="9"/>
  <c r="F41" i="9"/>
  <c r="G41" i="9"/>
  <c r="H41" i="9"/>
  <c r="I41" i="9"/>
  <c r="J41" i="9"/>
  <c r="C41" i="9"/>
  <c r="D33" i="9"/>
  <c r="E33" i="9"/>
  <c r="F33" i="9"/>
  <c r="G33" i="9"/>
  <c r="H33" i="9"/>
  <c r="I33" i="9"/>
  <c r="J33" i="9"/>
  <c r="C33" i="9"/>
  <c r="J40" i="9"/>
  <c r="I40" i="9"/>
  <c r="H40" i="9"/>
  <c r="G40" i="9"/>
  <c r="F40" i="9"/>
  <c r="E40" i="9"/>
  <c r="D40" i="9"/>
  <c r="C40" i="9"/>
  <c r="U42" i="9"/>
  <c r="T42" i="9"/>
  <c r="S42" i="9"/>
  <c r="R42" i="9"/>
  <c r="Q42" i="9"/>
  <c r="P42" i="9"/>
  <c r="O42" i="9"/>
  <c r="N42" i="9"/>
  <c r="V41" i="9"/>
  <c r="V40" i="9"/>
  <c r="U34" i="9"/>
  <c r="T34" i="9"/>
  <c r="S34" i="9"/>
  <c r="R34" i="9"/>
  <c r="Q34" i="9"/>
  <c r="P34" i="9"/>
  <c r="O34" i="9"/>
  <c r="N34" i="9"/>
  <c r="V33" i="9"/>
  <c r="V32" i="9"/>
  <c r="G17" i="7"/>
  <c r="I17" i="7" s="1"/>
  <c r="I24" i="7"/>
  <c r="I22" i="7"/>
  <c r="I20" i="7"/>
  <c r="D15" i="9"/>
  <c r="E15" i="9"/>
  <c r="F15" i="9"/>
  <c r="G15" i="9"/>
  <c r="H15" i="9"/>
  <c r="I15" i="9"/>
  <c r="J15" i="9"/>
  <c r="C15" i="9"/>
  <c r="O18" i="9"/>
  <c r="P18" i="9"/>
  <c r="Q18" i="9"/>
  <c r="R18" i="9"/>
  <c r="S18" i="9"/>
  <c r="T18" i="9"/>
  <c r="U18" i="9"/>
  <c r="N18" i="9"/>
  <c r="V16" i="9"/>
  <c r="J14" i="9"/>
  <c r="I14" i="9"/>
  <c r="H14" i="9"/>
  <c r="G14" i="9"/>
  <c r="F14" i="9"/>
  <c r="E14" i="9"/>
  <c r="D14" i="9"/>
  <c r="C14" i="9"/>
  <c r="V17" i="9"/>
  <c r="D7" i="9"/>
  <c r="E7" i="9"/>
  <c r="F7" i="9"/>
  <c r="G7" i="9"/>
  <c r="H7" i="9"/>
  <c r="I7" i="9"/>
  <c r="J7" i="9"/>
  <c r="C7" i="9"/>
  <c r="O10" i="9"/>
  <c r="P10" i="9"/>
  <c r="Q10" i="9"/>
  <c r="R10" i="9"/>
  <c r="S10" i="9"/>
  <c r="T10" i="9"/>
  <c r="U10" i="9"/>
  <c r="N10" i="9"/>
  <c r="V9" i="9"/>
  <c r="V8" i="9"/>
  <c r="K22" i="10" l="1"/>
  <c r="K24" i="10" s="1"/>
  <c r="K25" i="10"/>
  <c r="G28" i="7" s="1"/>
  <c r="I28" i="7" s="1"/>
  <c r="G30" i="7"/>
  <c r="I30" i="7" s="1"/>
  <c r="K51" i="10"/>
  <c r="K25" i="11"/>
  <c r="K145" i="11"/>
  <c r="B148" i="11"/>
  <c r="K148" i="11" s="1"/>
  <c r="K150" i="11" s="1"/>
  <c r="K151" i="11" s="1"/>
  <c r="K145" i="10"/>
  <c r="B148" i="10"/>
  <c r="K148" i="10" s="1"/>
  <c r="K150" i="10" s="1"/>
  <c r="J143" i="9"/>
  <c r="I143" i="9"/>
  <c r="H143" i="9"/>
  <c r="G143" i="9"/>
  <c r="F143" i="9"/>
  <c r="E143" i="9"/>
  <c r="D143" i="9"/>
  <c r="C143" i="9"/>
  <c r="B143" i="9"/>
  <c r="J141" i="9"/>
  <c r="I141" i="9"/>
  <c r="H141" i="9"/>
  <c r="G141" i="9"/>
  <c r="F141" i="9"/>
  <c r="E141" i="9"/>
  <c r="D141" i="9"/>
  <c r="C141" i="9"/>
  <c r="B141" i="9"/>
  <c r="K141" i="9" s="1"/>
  <c r="B140" i="9"/>
  <c r="J136" i="9"/>
  <c r="I137" i="9" s="1"/>
  <c r="I136" i="9"/>
  <c r="H137" i="9" s="1"/>
  <c r="H136" i="9"/>
  <c r="G137" i="9" s="1"/>
  <c r="G136" i="9"/>
  <c r="F137" i="9" s="1"/>
  <c r="F136" i="9"/>
  <c r="E137" i="9" s="1"/>
  <c r="E136" i="9"/>
  <c r="D137" i="9" s="1"/>
  <c r="D136" i="9"/>
  <c r="C137" i="9" s="1"/>
  <c r="C136" i="9"/>
  <c r="J134" i="9"/>
  <c r="I134" i="9"/>
  <c r="H134" i="9"/>
  <c r="G134" i="9"/>
  <c r="F134" i="9"/>
  <c r="E134" i="9"/>
  <c r="D134" i="9"/>
  <c r="C134" i="9"/>
  <c r="J132" i="9"/>
  <c r="J142" i="9" s="1"/>
  <c r="I132" i="9"/>
  <c r="I142" i="9" s="1"/>
  <c r="H132" i="9"/>
  <c r="H142" i="9" s="1"/>
  <c r="G132" i="9"/>
  <c r="G142" i="9" s="1"/>
  <c r="F132" i="9"/>
  <c r="F142" i="9" s="1"/>
  <c r="E132" i="9"/>
  <c r="E142" i="9" s="1"/>
  <c r="D132" i="9"/>
  <c r="D142" i="9" s="1"/>
  <c r="C132" i="9"/>
  <c r="C142" i="9" s="1"/>
  <c r="J131" i="9"/>
  <c r="I131" i="9"/>
  <c r="H131" i="9"/>
  <c r="G131" i="9"/>
  <c r="F131" i="9"/>
  <c r="E131" i="9"/>
  <c r="D131" i="9"/>
  <c r="C131" i="9"/>
  <c r="K131" i="9" s="1"/>
  <c r="J130" i="9"/>
  <c r="I130" i="9"/>
  <c r="H130" i="9"/>
  <c r="G130" i="9"/>
  <c r="F130" i="9"/>
  <c r="E130" i="9"/>
  <c r="D130" i="9"/>
  <c r="C130" i="9"/>
  <c r="K118" i="9"/>
  <c r="J117" i="9"/>
  <c r="I117" i="9"/>
  <c r="H117" i="9"/>
  <c r="G117" i="9"/>
  <c r="F117" i="9"/>
  <c r="E117" i="9"/>
  <c r="D117" i="9"/>
  <c r="C117" i="9"/>
  <c r="K117" i="9" s="1"/>
  <c r="K116" i="9"/>
  <c r="K115" i="9"/>
  <c r="K114" i="9"/>
  <c r="I112" i="9"/>
  <c r="H112" i="9"/>
  <c r="G112" i="9"/>
  <c r="F112" i="9"/>
  <c r="E112" i="9"/>
  <c r="D112" i="9"/>
  <c r="C112" i="9"/>
  <c r="B112" i="9"/>
  <c r="K111" i="9"/>
  <c r="K109" i="9"/>
  <c r="J110" i="9"/>
  <c r="J113" i="9" s="1"/>
  <c r="J119" i="9" s="1"/>
  <c r="I110" i="9"/>
  <c r="H110" i="9"/>
  <c r="H113" i="9" s="1"/>
  <c r="H119" i="9" s="1"/>
  <c r="G110" i="9"/>
  <c r="F110" i="9"/>
  <c r="F113" i="9" s="1"/>
  <c r="F119" i="9" s="1"/>
  <c r="E110" i="9"/>
  <c r="D110" i="9"/>
  <c r="D113" i="9" s="1"/>
  <c r="D119" i="9" s="1"/>
  <c r="C110" i="9"/>
  <c r="C113" i="9" s="1"/>
  <c r="C119" i="9" s="1"/>
  <c r="K107" i="9"/>
  <c r="K106" i="9"/>
  <c r="K105" i="9"/>
  <c r="K93" i="9"/>
  <c r="J92" i="9"/>
  <c r="I92" i="9"/>
  <c r="H92" i="9"/>
  <c r="G92" i="9"/>
  <c r="F92" i="9"/>
  <c r="E92" i="9"/>
  <c r="D92" i="9"/>
  <c r="C92" i="9"/>
  <c r="K92" i="9" s="1"/>
  <c r="K91" i="9"/>
  <c r="K89" i="9"/>
  <c r="I87" i="9"/>
  <c r="H87" i="9"/>
  <c r="G87" i="9"/>
  <c r="F87" i="9"/>
  <c r="E87" i="9"/>
  <c r="D87" i="9"/>
  <c r="C87" i="9"/>
  <c r="B87" i="9"/>
  <c r="K87" i="9" s="1"/>
  <c r="K86" i="9"/>
  <c r="K84" i="9"/>
  <c r="J85" i="9"/>
  <c r="J88" i="9" s="1"/>
  <c r="J94" i="9" s="1"/>
  <c r="I85" i="9"/>
  <c r="I88" i="9" s="1"/>
  <c r="I94" i="9" s="1"/>
  <c r="H85" i="9"/>
  <c r="H88" i="9" s="1"/>
  <c r="H94" i="9" s="1"/>
  <c r="G85" i="9"/>
  <c r="G88" i="9" s="1"/>
  <c r="G94" i="9" s="1"/>
  <c r="F85" i="9"/>
  <c r="F88" i="9" s="1"/>
  <c r="F94" i="9" s="1"/>
  <c r="E85" i="9"/>
  <c r="E88" i="9" s="1"/>
  <c r="E94" i="9" s="1"/>
  <c r="D85" i="9"/>
  <c r="D88" i="9" s="1"/>
  <c r="D94" i="9" s="1"/>
  <c r="C85" i="9"/>
  <c r="C88" i="9" s="1"/>
  <c r="C94" i="9" s="1"/>
  <c r="K82" i="9"/>
  <c r="K81" i="9"/>
  <c r="K80" i="9"/>
  <c r="K68" i="9"/>
  <c r="J67" i="9"/>
  <c r="I67" i="9"/>
  <c r="H67" i="9"/>
  <c r="G67" i="9"/>
  <c r="F67" i="9"/>
  <c r="E67" i="9"/>
  <c r="D67" i="9"/>
  <c r="C67" i="9"/>
  <c r="K67" i="9" s="1"/>
  <c r="K66" i="9"/>
  <c r="K64" i="9"/>
  <c r="I62" i="9"/>
  <c r="H62" i="9"/>
  <c r="G62" i="9"/>
  <c r="F62" i="9"/>
  <c r="E62" i="9"/>
  <c r="D62" i="9"/>
  <c r="C62" i="9"/>
  <c r="B62" i="9"/>
  <c r="K61" i="9"/>
  <c r="J60" i="9"/>
  <c r="J63" i="9" s="1"/>
  <c r="J69" i="9" s="1"/>
  <c r="I60" i="9"/>
  <c r="I63" i="9" s="1"/>
  <c r="I69" i="9" s="1"/>
  <c r="H60" i="9"/>
  <c r="H63" i="9" s="1"/>
  <c r="H69" i="9" s="1"/>
  <c r="G60" i="9"/>
  <c r="G63" i="9" s="1"/>
  <c r="G69" i="9" s="1"/>
  <c r="E60" i="9"/>
  <c r="E63" i="9" s="1"/>
  <c r="E69" i="9" s="1"/>
  <c r="C60" i="9"/>
  <c r="C63" i="9" s="1"/>
  <c r="C69" i="9" s="1"/>
  <c r="K59" i="9"/>
  <c r="F60" i="9"/>
  <c r="F63" i="9" s="1"/>
  <c r="F69" i="9" s="1"/>
  <c r="K58" i="9"/>
  <c r="K57" i="9"/>
  <c r="K56" i="9"/>
  <c r="K55" i="9"/>
  <c r="K43" i="9"/>
  <c r="J42" i="9"/>
  <c r="I42" i="9"/>
  <c r="H42" i="9"/>
  <c r="G42" i="9"/>
  <c r="F42" i="9"/>
  <c r="E42" i="9"/>
  <c r="D42" i="9"/>
  <c r="C42" i="9"/>
  <c r="K42" i="9" s="1"/>
  <c r="K41" i="9"/>
  <c r="K40" i="9"/>
  <c r="K39" i="9"/>
  <c r="I37" i="9"/>
  <c r="H37" i="9"/>
  <c r="G37" i="9"/>
  <c r="F37" i="9"/>
  <c r="E37" i="9"/>
  <c r="D37" i="9"/>
  <c r="C37" i="9"/>
  <c r="B37" i="9"/>
  <c r="K36" i="9"/>
  <c r="I35" i="9"/>
  <c r="E35" i="9"/>
  <c r="E38" i="9" s="1"/>
  <c r="E44" i="9" s="1"/>
  <c r="K34" i="9"/>
  <c r="J35" i="9"/>
  <c r="J38" i="9" s="1"/>
  <c r="J44" i="9" s="1"/>
  <c r="H35" i="9"/>
  <c r="H38" i="9" s="1"/>
  <c r="H44" i="9" s="1"/>
  <c r="G35" i="9"/>
  <c r="G38" i="9" s="1"/>
  <c r="G44" i="9" s="1"/>
  <c r="F35" i="9"/>
  <c r="F38" i="9" s="1"/>
  <c r="F44" i="9" s="1"/>
  <c r="D35" i="9"/>
  <c r="D38" i="9" s="1"/>
  <c r="D44" i="9" s="1"/>
  <c r="C35" i="9"/>
  <c r="K32" i="9"/>
  <c r="K31" i="9"/>
  <c r="K30" i="9"/>
  <c r="K17" i="9"/>
  <c r="J16" i="9"/>
  <c r="I16" i="9"/>
  <c r="H16" i="9"/>
  <c r="G16" i="9"/>
  <c r="F16" i="9"/>
  <c r="E16" i="9"/>
  <c r="D16" i="9"/>
  <c r="C16" i="9"/>
  <c r="K16" i="9" s="1"/>
  <c r="K15" i="9"/>
  <c r="J140" i="9"/>
  <c r="I140" i="9"/>
  <c r="H140" i="9"/>
  <c r="G140" i="9"/>
  <c r="F140" i="9"/>
  <c r="E140" i="9"/>
  <c r="D140" i="9"/>
  <c r="C140" i="9"/>
  <c r="K13" i="9"/>
  <c r="I11" i="9"/>
  <c r="H11" i="9"/>
  <c r="G11" i="9"/>
  <c r="F11" i="9"/>
  <c r="E11" i="9"/>
  <c r="D11" i="9"/>
  <c r="C11" i="9"/>
  <c r="B11" i="9"/>
  <c r="B12" i="9" s="1"/>
  <c r="B18" i="9" s="1"/>
  <c r="B19" i="9" s="1"/>
  <c r="K10" i="9"/>
  <c r="K8" i="9"/>
  <c r="J133" i="9"/>
  <c r="I133" i="9"/>
  <c r="H133" i="9"/>
  <c r="G133" i="9"/>
  <c r="F133" i="9"/>
  <c r="E133" i="9"/>
  <c r="D133" i="9"/>
  <c r="C133" i="9"/>
  <c r="K6" i="9"/>
  <c r="K5" i="9"/>
  <c r="K4" i="9"/>
  <c r="K151" i="10" l="1"/>
  <c r="G35" i="7" s="1"/>
  <c r="I35" i="7" s="1"/>
  <c r="I113" i="9"/>
  <c r="I119" i="9" s="1"/>
  <c r="G113" i="9"/>
  <c r="G119" i="9" s="1"/>
  <c r="E113" i="9"/>
  <c r="E119" i="9" s="1"/>
  <c r="E120" i="9" s="1"/>
  <c r="E123" i="9" s="1"/>
  <c r="K112" i="9"/>
  <c r="B88" i="9"/>
  <c r="B94" i="9" s="1"/>
  <c r="B95" i="9" s="1"/>
  <c r="K62" i="9"/>
  <c r="K130" i="9"/>
  <c r="K60" i="9"/>
  <c r="K63" i="9" s="1"/>
  <c r="K69" i="9" s="1"/>
  <c r="K133" i="9"/>
  <c r="I38" i="9"/>
  <c r="I44" i="9" s="1"/>
  <c r="C38" i="9"/>
  <c r="C44" i="9" s="1"/>
  <c r="C45" i="9" s="1"/>
  <c r="C48" i="9" s="1"/>
  <c r="K143" i="9"/>
  <c r="K134" i="9"/>
  <c r="K136" i="9"/>
  <c r="B22" i="9"/>
  <c r="C9" i="9"/>
  <c r="C12" i="9" s="1"/>
  <c r="C18" i="9" s="1"/>
  <c r="C19" i="9" s="1"/>
  <c r="C22" i="9" s="1"/>
  <c r="I9" i="9"/>
  <c r="I12" i="9" s="1"/>
  <c r="I18" i="9" s="1"/>
  <c r="I19" i="9" s="1"/>
  <c r="I22" i="9" s="1"/>
  <c r="K11" i="9"/>
  <c r="K14" i="9"/>
  <c r="E45" i="9"/>
  <c r="E48" i="9" s="1"/>
  <c r="G45" i="9"/>
  <c r="G48" i="9" s="1"/>
  <c r="I45" i="9"/>
  <c r="I48" i="9" s="1"/>
  <c r="F70" i="9"/>
  <c r="F73" i="9" s="1"/>
  <c r="H70" i="9"/>
  <c r="H73" i="9" s="1"/>
  <c r="J70" i="9"/>
  <c r="J73" i="9" s="1"/>
  <c r="B98" i="9"/>
  <c r="C95" i="9"/>
  <c r="C98" i="9" s="1"/>
  <c r="E95" i="9"/>
  <c r="E98" i="9" s="1"/>
  <c r="G95" i="9"/>
  <c r="G98" i="9" s="1"/>
  <c r="K7" i="9"/>
  <c r="K9" i="9" s="1"/>
  <c r="K12" i="9" s="1"/>
  <c r="E9" i="9"/>
  <c r="E12" i="9" s="1"/>
  <c r="E18" i="9" s="1"/>
  <c r="G9" i="9"/>
  <c r="G12" i="9" s="1"/>
  <c r="G18" i="9" s="1"/>
  <c r="G19" i="9" s="1"/>
  <c r="G22" i="9" s="1"/>
  <c r="D9" i="9"/>
  <c r="D12" i="9" s="1"/>
  <c r="D18" i="9" s="1"/>
  <c r="D19" i="9" s="1"/>
  <c r="D22" i="9" s="1"/>
  <c r="F9" i="9"/>
  <c r="F12" i="9" s="1"/>
  <c r="F18" i="9" s="1"/>
  <c r="F19" i="9" s="1"/>
  <c r="F22" i="9" s="1"/>
  <c r="H9" i="9"/>
  <c r="H12" i="9" s="1"/>
  <c r="H18" i="9" s="1"/>
  <c r="H19" i="9" s="1"/>
  <c r="H22" i="9" s="1"/>
  <c r="J9" i="9"/>
  <c r="J12" i="9" s="1"/>
  <c r="J18" i="9" s="1"/>
  <c r="J19" i="9" s="1"/>
  <c r="J22" i="9" s="1"/>
  <c r="E19" i="9"/>
  <c r="E22" i="9" s="1"/>
  <c r="K33" i="9"/>
  <c r="K35" i="9" s="1"/>
  <c r="K37" i="9"/>
  <c r="B38" i="9"/>
  <c r="B44" i="9" s="1"/>
  <c r="B45" i="9" s="1"/>
  <c r="D45" i="9"/>
  <c r="D48" i="9" s="1"/>
  <c r="F45" i="9"/>
  <c r="F48" i="9" s="1"/>
  <c r="H45" i="9"/>
  <c r="H48" i="9" s="1"/>
  <c r="J45" i="9"/>
  <c r="J48" i="9" s="1"/>
  <c r="E70" i="9"/>
  <c r="E73" i="9" s="1"/>
  <c r="G70" i="9"/>
  <c r="G73" i="9" s="1"/>
  <c r="I70" i="9"/>
  <c r="I73" i="9" s="1"/>
  <c r="D95" i="9"/>
  <c r="D98" i="9" s="1"/>
  <c r="F95" i="9"/>
  <c r="F98" i="9" s="1"/>
  <c r="D60" i="9"/>
  <c r="D63" i="9" s="1"/>
  <c r="D69" i="9" s="1"/>
  <c r="D70" i="9" s="1"/>
  <c r="D73" i="9" s="1"/>
  <c r="B63" i="9"/>
  <c r="B69" i="9" s="1"/>
  <c r="B70" i="9" s="1"/>
  <c r="C70" i="9"/>
  <c r="C73" i="9" s="1"/>
  <c r="K83" i="9"/>
  <c r="K85" i="9" s="1"/>
  <c r="K88" i="9" s="1"/>
  <c r="I95" i="9"/>
  <c r="I98" i="9" s="1"/>
  <c r="K90" i="9"/>
  <c r="G120" i="9"/>
  <c r="G123" i="9" s="1"/>
  <c r="I120" i="9"/>
  <c r="I123" i="9" s="1"/>
  <c r="E135" i="9"/>
  <c r="E138" i="9" s="1"/>
  <c r="E144" i="9" s="1"/>
  <c r="E145" i="9" s="1"/>
  <c r="E148" i="9" s="1"/>
  <c r="G135" i="9"/>
  <c r="G138" i="9" s="1"/>
  <c r="G144" i="9" s="1"/>
  <c r="G145" i="9" s="1"/>
  <c r="G148" i="9" s="1"/>
  <c r="I135" i="9"/>
  <c r="I138" i="9" s="1"/>
  <c r="I144" i="9" s="1"/>
  <c r="I145" i="9" s="1"/>
  <c r="I148" i="9" s="1"/>
  <c r="K142" i="9"/>
  <c r="H95" i="9"/>
  <c r="H98" i="9" s="1"/>
  <c r="J95" i="9"/>
  <c r="J98" i="9" s="1"/>
  <c r="D120" i="9"/>
  <c r="D123" i="9" s="1"/>
  <c r="F120" i="9"/>
  <c r="F123" i="9" s="1"/>
  <c r="H120" i="9"/>
  <c r="H123" i="9" s="1"/>
  <c r="J120" i="9"/>
  <c r="J123" i="9" s="1"/>
  <c r="D135" i="9"/>
  <c r="D138" i="9" s="1"/>
  <c r="D144" i="9" s="1"/>
  <c r="D145" i="9" s="1"/>
  <c r="D148" i="9" s="1"/>
  <c r="F135" i="9"/>
  <c r="F138" i="9" s="1"/>
  <c r="F144" i="9" s="1"/>
  <c r="F145" i="9" s="1"/>
  <c r="F148" i="9" s="1"/>
  <c r="H135" i="9"/>
  <c r="H138" i="9" s="1"/>
  <c r="H144" i="9" s="1"/>
  <c r="H145" i="9" s="1"/>
  <c r="H148" i="9" s="1"/>
  <c r="J135" i="9"/>
  <c r="J138" i="9" s="1"/>
  <c r="J144" i="9" s="1"/>
  <c r="J145" i="9" s="1"/>
  <c r="J148" i="9" s="1"/>
  <c r="K140" i="9"/>
  <c r="B113" i="9"/>
  <c r="B119" i="9" s="1"/>
  <c r="B120" i="9" s="1"/>
  <c r="C120" i="9"/>
  <c r="C123" i="9" s="1"/>
  <c r="C135" i="9"/>
  <c r="C138" i="9" s="1"/>
  <c r="C144" i="9" s="1"/>
  <c r="C145" i="9" s="1"/>
  <c r="C148" i="9" s="1"/>
  <c r="B137" i="9"/>
  <c r="K139" i="9"/>
  <c r="K108" i="9"/>
  <c r="K110" i="9" s="1"/>
  <c r="K113" i="9" s="1"/>
  <c r="K119" i="9" s="1"/>
  <c r="K132" i="9"/>
  <c r="K135" i="9" s="1"/>
  <c r="J114" i="8"/>
  <c r="I114" i="8"/>
  <c r="H114" i="8"/>
  <c r="J89" i="8"/>
  <c r="I89" i="8"/>
  <c r="H89" i="8"/>
  <c r="G89" i="8"/>
  <c r="C89" i="8"/>
  <c r="J64" i="8"/>
  <c r="I64" i="8"/>
  <c r="H64" i="8"/>
  <c r="D64" i="8"/>
  <c r="C64" i="8"/>
  <c r="J107" i="8"/>
  <c r="I107" i="8"/>
  <c r="H107" i="8"/>
  <c r="G107" i="8"/>
  <c r="J82" i="8"/>
  <c r="I82" i="8"/>
  <c r="H82" i="8"/>
  <c r="G82" i="8"/>
  <c r="C82" i="8"/>
  <c r="D57" i="8"/>
  <c r="C57" i="8"/>
  <c r="J32" i="8"/>
  <c r="I32" i="8"/>
  <c r="H32" i="8"/>
  <c r="G32" i="8"/>
  <c r="D32" i="8"/>
  <c r="C32" i="8"/>
  <c r="K94" i="9" l="1"/>
  <c r="K38" i="9"/>
  <c r="K44" i="9" s="1"/>
  <c r="K18" i="9"/>
  <c r="B123" i="9"/>
  <c r="K123" i="9" s="1"/>
  <c r="K125" i="9" s="1"/>
  <c r="K126" i="9" s="1"/>
  <c r="K120" i="9"/>
  <c r="B73" i="9"/>
  <c r="K73" i="9" s="1"/>
  <c r="K75" i="9" s="1"/>
  <c r="K76" i="9" s="1"/>
  <c r="K70" i="9"/>
  <c r="K98" i="9"/>
  <c r="K100" i="9" s="1"/>
  <c r="K101" i="9" s="1"/>
  <c r="G21" i="7" s="1"/>
  <c r="I21" i="7" s="1"/>
  <c r="B138" i="9"/>
  <c r="B144" i="9" s="1"/>
  <c r="B145" i="9" s="1"/>
  <c r="K137" i="9"/>
  <c r="K138" i="9" s="1"/>
  <c r="K144" i="9" s="1"/>
  <c r="B48" i="9"/>
  <c r="K48" i="9" s="1"/>
  <c r="K50" i="9" s="1"/>
  <c r="K51" i="9" s="1"/>
  <c r="G19" i="7" s="1"/>
  <c r="I19" i="7" s="1"/>
  <c r="K45" i="9"/>
  <c r="K95" i="9"/>
  <c r="K22" i="9"/>
  <c r="K24" i="9" s="1"/>
  <c r="K25" i="9" s="1"/>
  <c r="K19" i="9"/>
  <c r="B139" i="8"/>
  <c r="I136" i="8"/>
  <c r="H136" i="8"/>
  <c r="G136" i="8"/>
  <c r="F136" i="8"/>
  <c r="E136" i="8"/>
  <c r="D136" i="8"/>
  <c r="C136" i="8"/>
  <c r="K135" i="8"/>
  <c r="J132" i="8"/>
  <c r="I132" i="8"/>
  <c r="J141" i="8"/>
  <c r="I141" i="8"/>
  <c r="H141" i="8"/>
  <c r="G141" i="8"/>
  <c r="F141" i="8"/>
  <c r="E141" i="8"/>
  <c r="D141" i="8"/>
  <c r="C141" i="8"/>
  <c r="K117" i="8"/>
  <c r="J116" i="8"/>
  <c r="I116" i="8"/>
  <c r="H116" i="8"/>
  <c r="G116" i="8"/>
  <c r="F116" i="8"/>
  <c r="E116" i="8"/>
  <c r="D116" i="8"/>
  <c r="C116" i="8"/>
  <c r="K116" i="8" s="1"/>
  <c r="K115" i="8"/>
  <c r="K114" i="8"/>
  <c r="K113" i="8"/>
  <c r="I111" i="8"/>
  <c r="H111" i="8"/>
  <c r="G111" i="8"/>
  <c r="F111" i="8"/>
  <c r="E111" i="8"/>
  <c r="D111" i="8"/>
  <c r="C111" i="8"/>
  <c r="B111" i="8"/>
  <c r="B112" i="8" s="1"/>
  <c r="B118" i="8" s="1"/>
  <c r="B119" i="8" s="1"/>
  <c r="K110" i="8"/>
  <c r="I109" i="8"/>
  <c r="I112" i="8" s="1"/>
  <c r="G109" i="8"/>
  <c r="G112" i="8" s="1"/>
  <c r="E109" i="8"/>
  <c r="C109" i="8"/>
  <c r="C112" i="8" s="1"/>
  <c r="J109" i="8"/>
  <c r="J112" i="8" s="1"/>
  <c r="J118" i="8" s="1"/>
  <c r="H109" i="8"/>
  <c r="H112" i="8" s="1"/>
  <c r="F109" i="8"/>
  <c r="F112" i="8" s="1"/>
  <c r="D109" i="8"/>
  <c r="D112" i="8" s="1"/>
  <c r="D118" i="8" s="1"/>
  <c r="K108" i="8"/>
  <c r="K107" i="8"/>
  <c r="K106" i="8"/>
  <c r="K105" i="8"/>
  <c r="K104" i="8"/>
  <c r="K92" i="8"/>
  <c r="J91" i="8"/>
  <c r="I91" i="8"/>
  <c r="H91" i="8"/>
  <c r="G91" i="8"/>
  <c r="F91" i="8"/>
  <c r="E91" i="8"/>
  <c r="D91" i="8"/>
  <c r="C91" i="8"/>
  <c r="K90" i="8"/>
  <c r="K88" i="8"/>
  <c r="I86" i="8"/>
  <c r="H86" i="8"/>
  <c r="G86" i="8"/>
  <c r="F86" i="8"/>
  <c r="E86" i="8"/>
  <c r="D86" i="8"/>
  <c r="C86" i="8"/>
  <c r="B86" i="8"/>
  <c r="B87" i="8" s="1"/>
  <c r="B93" i="8" s="1"/>
  <c r="B94" i="8" s="1"/>
  <c r="B97" i="8" s="1"/>
  <c r="K85" i="8"/>
  <c r="I84" i="8"/>
  <c r="I87" i="8" s="1"/>
  <c r="I93" i="8" s="1"/>
  <c r="G84" i="8"/>
  <c r="G87" i="8" s="1"/>
  <c r="G93" i="8" s="1"/>
  <c r="E84" i="8"/>
  <c r="C84" i="8"/>
  <c r="C87" i="8" s="1"/>
  <c r="C93" i="8" s="1"/>
  <c r="J84" i="8"/>
  <c r="J87" i="8" s="1"/>
  <c r="J93" i="8" s="1"/>
  <c r="H84" i="8"/>
  <c r="D84" i="8"/>
  <c r="D87" i="8" s="1"/>
  <c r="D93" i="8" s="1"/>
  <c r="K83" i="8"/>
  <c r="K82" i="8"/>
  <c r="F84" i="8"/>
  <c r="F87" i="8" s="1"/>
  <c r="F93" i="8" s="1"/>
  <c r="K81" i="8"/>
  <c r="K80" i="8"/>
  <c r="K79" i="8"/>
  <c r="K67" i="8"/>
  <c r="J66" i="8"/>
  <c r="I66" i="8"/>
  <c r="H66" i="8"/>
  <c r="G66" i="8"/>
  <c r="F66" i="8"/>
  <c r="E66" i="8"/>
  <c r="D66" i="8"/>
  <c r="C66" i="8"/>
  <c r="K65" i="8"/>
  <c r="K64" i="8"/>
  <c r="I61" i="8"/>
  <c r="H61" i="8"/>
  <c r="G61" i="8"/>
  <c r="F61" i="8"/>
  <c r="E61" i="8"/>
  <c r="D61" i="8"/>
  <c r="C61" i="8"/>
  <c r="B61" i="8"/>
  <c r="K60" i="8"/>
  <c r="J59" i="8"/>
  <c r="J62" i="8" s="1"/>
  <c r="J68" i="8" s="1"/>
  <c r="H59" i="8"/>
  <c r="H62" i="8" s="1"/>
  <c r="H68" i="8" s="1"/>
  <c r="F59" i="8"/>
  <c r="F62" i="8" s="1"/>
  <c r="F68" i="8" s="1"/>
  <c r="D59" i="8"/>
  <c r="D62" i="8" s="1"/>
  <c r="D68" i="8" s="1"/>
  <c r="I59" i="8"/>
  <c r="I62" i="8" s="1"/>
  <c r="I68" i="8" s="1"/>
  <c r="I69" i="8" s="1"/>
  <c r="I72" i="8" s="1"/>
  <c r="G59" i="8"/>
  <c r="G62" i="8" s="1"/>
  <c r="G68" i="8" s="1"/>
  <c r="E59" i="8"/>
  <c r="E62" i="8" s="1"/>
  <c r="E68" i="8" s="1"/>
  <c r="E69" i="8" s="1"/>
  <c r="E72" i="8" s="1"/>
  <c r="C59" i="8"/>
  <c r="C62" i="8" s="1"/>
  <c r="C68" i="8" s="1"/>
  <c r="K57" i="8"/>
  <c r="K56" i="8"/>
  <c r="K55" i="8"/>
  <c r="K54" i="8"/>
  <c r="K42" i="8"/>
  <c r="J41" i="8"/>
  <c r="I41" i="8"/>
  <c r="H41" i="8"/>
  <c r="G41" i="8"/>
  <c r="F41" i="8"/>
  <c r="E41" i="8"/>
  <c r="D41" i="8"/>
  <c r="C41" i="8"/>
  <c r="K40" i="8"/>
  <c r="K39" i="8"/>
  <c r="I36" i="8"/>
  <c r="H36" i="8"/>
  <c r="G36" i="8"/>
  <c r="F36" i="8"/>
  <c r="E36" i="8"/>
  <c r="D36" i="8"/>
  <c r="C36" i="8"/>
  <c r="B36" i="8"/>
  <c r="B37" i="8" s="1"/>
  <c r="B43" i="8" s="1"/>
  <c r="B44" i="8" s="1"/>
  <c r="K35" i="8"/>
  <c r="I34" i="8"/>
  <c r="I37" i="8" s="1"/>
  <c r="I43" i="8" s="1"/>
  <c r="G34" i="8"/>
  <c r="G37" i="8" s="1"/>
  <c r="E34" i="8"/>
  <c r="E37" i="8" s="1"/>
  <c r="E43" i="8" s="1"/>
  <c r="C34" i="8"/>
  <c r="C37" i="8" s="1"/>
  <c r="J34" i="8"/>
  <c r="J37" i="8" s="1"/>
  <c r="J43" i="8" s="1"/>
  <c r="H34" i="8"/>
  <c r="D34" i="8"/>
  <c r="D37" i="8" s="1"/>
  <c r="K33" i="8"/>
  <c r="K32" i="8"/>
  <c r="F34" i="8"/>
  <c r="K31" i="8"/>
  <c r="K30" i="8"/>
  <c r="K29" i="8"/>
  <c r="J139" i="8"/>
  <c r="I139" i="8"/>
  <c r="H139" i="8"/>
  <c r="G139" i="8"/>
  <c r="F139" i="8"/>
  <c r="E139" i="8"/>
  <c r="D139" i="8"/>
  <c r="C139" i="8"/>
  <c r="H132" i="8"/>
  <c r="G132" i="8"/>
  <c r="F132" i="8"/>
  <c r="E132" i="8"/>
  <c r="D132" i="8"/>
  <c r="C132" i="8"/>
  <c r="K61" i="8" l="1"/>
  <c r="F37" i="8"/>
  <c r="H37" i="8"/>
  <c r="H43" i="8" s="1"/>
  <c r="E112" i="8"/>
  <c r="E118" i="8" s="1"/>
  <c r="E119" i="8" s="1"/>
  <c r="E122" i="8" s="1"/>
  <c r="I118" i="8"/>
  <c r="F134" i="8"/>
  <c r="F137" i="8" s="1"/>
  <c r="K41" i="8"/>
  <c r="K130" i="8"/>
  <c r="K141" i="8"/>
  <c r="K145" i="9"/>
  <c r="B148" i="9"/>
  <c r="K148" i="9" s="1"/>
  <c r="K150" i="9" s="1"/>
  <c r="K151" i="9" s="1"/>
  <c r="F143" i="8"/>
  <c r="F144" i="8" s="1"/>
  <c r="F147" i="8" s="1"/>
  <c r="D119" i="8"/>
  <c r="D122" i="8" s="1"/>
  <c r="F119" i="8"/>
  <c r="F122" i="8" s="1"/>
  <c r="H119" i="8"/>
  <c r="H122" i="8" s="1"/>
  <c r="J119" i="8"/>
  <c r="J122" i="8" s="1"/>
  <c r="E87" i="8"/>
  <c r="E93" i="8" s="1"/>
  <c r="E94" i="8" s="1"/>
  <c r="E97" i="8" s="1"/>
  <c r="K84" i="8"/>
  <c r="B62" i="8"/>
  <c r="B68" i="8" s="1"/>
  <c r="B69" i="8" s="1"/>
  <c r="B72" i="8" s="1"/>
  <c r="K142" i="8"/>
  <c r="K34" i="8"/>
  <c r="K132" i="8"/>
  <c r="B47" i="8"/>
  <c r="C44" i="8"/>
  <c r="C47" i="8" s="1"/>
  <c r="G44" i="8"/>
  <c r="G47" i="8" s="1"/>
  <c r="E44" i="8"/>
  <c r="E47" i="8" s="1"/>
  <c r="I44" i="8"/>
  <c r="I47" i="8" s="1"/>
  <c r="C69" i="8"/>
  <c r="C72" i="8" s="1"/>
  <c r="G69" i="8"/>
  <c r="G72" i="8" s="1"/>
  <c r="C94" i="8"/>
  <c r="C97" i="8" s="1"/>
  <c r="G94" i="8"/>
  <c r="G97" i="8" s="1"/>
  <c r="I94" i="8"/>
  <c r="I97" i="8" s="1"/>
  <c r="K36" i="8"/>
  <c r="D44" i="8"/>
  <c r="D47" i="8" s="1"/>
  <c r="F44" i="8"/>
  <c r="F47" i="8" s="1"/>
  <c r="H44" i="8"/>
  <c r="H47" i="8" s="1"/>
  <c r="J44" i="8"/>
  <c r="J47" i="8" s="1"/>
  <c r="K58" i="8"/>
  <c r="K59" i="8" s="1"/>
  <c r="K62" i="8" s="1"/>
  <c r="D69" i="8"/>
  <c r="D72" i="8" s="1"/>
  <c r="F69" i="8"/>
  <c r="F72" i="8" s="1"/>
  <c r="H69" i="8"/>
  <c r="H72" i="8" s="1"/>
  <c r="J69" i="8"/>
  <c r="J72" i="8" s="1"/>
  <c r="K86" i="8"/>
  <c r="K89" i="8"/>
  <c r="D134" i="8"/>
  <c r="D137" i="8" s="1"/>
  <c r="D143" i="8" s="1"/>
  <c r="D144" i="8" s="1"/>
  <c r="D147" i="8" s="1"/>
  <c r="G134" i="8"/>
  <c r="G137" i="8" s="1"/>
  <c r="G143" i="8" s="1"/>
  <c r="G144" i="8" s="1"/>
  <c r="G147" i="8" s="1"/>
  <c r="I134" i="8"/>
  <c r="I137" i="8" s="1"/>
  <c r="I143" i="8" s="1"/>
  <c r="I144" i="8" s="1"/>
  <c r="I147" i="8" s="1"/>
  <c r="K140" i="8"/>
  <c r="K133" i="8"/>
  <c r="K38" i="8"/>
  <c r="K63" i="8"/>
  <c r="K66" i="8"/>
  <c r="H87" i="8"/>
  <c r="H93" i="8" s="1"/>
  <c r="H94" i="8" s="1"/>
  <c r="D94" i="8"/>
  <c r="D97" i="8" s="1"/>
  <c r="F94" i="8"/>
  <c r="F97" i="8" s="1"/>
  <c r="J94" i="8"/>
  <c r="J97" i="8" s="1"/>
  <c r="K91" i="8"/>
  <c r="K109" i="8"/>
  <c r="B122" i="8"/>
  <c r="G119" i="8"/>
  <c r="G122" i="8" s="1"/>
  <c r="I119" i="8"/>
  <c r="I122" i="8" s="1"/>
  <c r="K129" i="8"/>
  <c r="E134" i="8"/>
  <c r="E137" i="8" s="1"/>
  <c r="E143" i="8" s="1"/>
  <c r="E144" i="8" s="1"/>
  <c r="E147" i="8" s="1"/>
  <c r="H134" i="8"/>
  <c r="H137" i="8" s="1"/>
  <c r="H143" i="8" s="1"/>
  <c r="H144" i="8" s="1"/>
  <c r="H147" i="8" s="1"/>
  <c r="J134" i="8"/>
  <c r="J137" i="8" s="1"/>
  <c r="J143" i="8" s="1"/>
  <c r="J144" i="8" s="1"/>
  <c r="J147" i="8" s="1"/>
  <c r="K139" i="8"/>
  <c r="K111" i="8"/>
  <c r="C119" i="8"/>
  <c r="C122" i="8" s="1"/>
  <c r="C134" i="8"/>
  <c r="C137" i="8" s="1"/>
  <c r="C143" i="8" s="1"/>
  <c r="C144" i="8" s="1"/>
  <c r="C147" i="8" s="1"/>
  <c r="B136" i="8"/>
  <c r="K138" i="8"/>
  <c r="K131" i="8"/>
  <c r="D14" i="6"/>
  <c r="E14" i="6"/>
  <c r="F14" i="6"/>
  <c r="G14" i="6"/>
  <c r="H14" i="6"/>
  <c r="I14" i="6"/>
  <c r="J14" i="6"/>
  <c r="C14" i="6"/>
  <c r="D28" i="6"/>
  <c r="E28" i="6"/>
  <c r="F28" i="6"/>
  <c r="G28" i="6"/>
  <c r="H28" i="6"/>
  <c r="I28" i="6"/>
  <c r="J28" i="6"/>
  <c r="C28" i="6"/>
  <c r="K28" i="6" s="1"/>
  <c r="D27" i="6"/>
  <c r="E27" i="6"/>
  <c r="E29" i="6" s="1"/>
  <c r="E13" i="6" s="1"/>
  <c r="F27" i="6"/>
  <c r="G27" i="6"/>
  <c r="G29" i="6" s="1"/>
  <c r="G13" i="6" s="1"/>
  <c r="H27" i="6"/>
  <c r="I27" i="6"/>
  <c r="I29" i="6" s="1"/>
  <c r="I13" i="6" s="1"/>
  <c r="J27" i="6"/>
  <c r="C27" i="6"/>
  <c r="K27" i="6" s="1"/>
  <c r="C11" i="6"/>
  <c r="D11" i="6"/>
  <c r="E11" i="6"/>
  <c r="F11" i="6"/>
  <c r="G11" i="6"/>
  <c r="H11" i="6"/>
  <c r="I11" i="6"/>
  <c r="J11" i="6"/>
  <c r="B11" i="6"/>
  <c r="D8" i="6"/>
  <c r="C9" i="6" s="1"/>
  <c r="E8" i="6"/>
  <c r="F8" i="6"/>
  <c r="E9" i="6" s="1"/>
  <c r="G8" i="6"/>
  <c r="H8" i="6"/>
  <c r="G9" i="6" s="1"/>
  <c r="I8" i="6"/>
  <c r="J8" i="6"/>
  <c r="I9" i="6" s="1"/>
  <c r="C8" i="6"/>
  <c r="D6" i="6"/>
  <c r="E6" i="6"/>
  <c r="F6" i="6"/>
  <c r="G6" i="6"/>
  <c r="H6" i="6"/>
  <c r="I6" i="6"/>
  <c r="J6" i="6"/>
  <c r="C6" i="6"/>
  <c r="D4" i="6"/>
  <c r="E4" i="6"/>
  <c r="F4" i="6"/>
  <c r="G4" i="6"/>
  <c r="H4" i="6"/>
  <c r="I4" i="6"/>
  <c r="J4" i="6"/>
  <c r="C4" i="6"/>
  <c r="J29" i="6"/>
  <c r="J13" i="6" s="1"/>
  <c r="H29" i="6"/>
  <c r="F29" i="6"/>
  <c r="F13" i="6" s="1"/>
  <c r="D29" i="6"/>
  <c r="K14" i="6"/>
  <c r="H13" i="6"/>
  <c r="D13" i="6"/>
  <c r="H9" i="6"/>
  <c r="F9" i="6"/>
  <c r="D9" i="6"/>
  <c r="B9" i="6"/>
  <c r="B10" i="6" s="1"/>
  <c r="J5" i="5"/>
  <c r="I5" i="5"/>
  <c r="H5" i="5"/>
  <c r="G5" i="5"/>
  <c r="F5" i="5"/>
  <c r="E5" i="5"/>
  <c r="D5" i="5"/>
  <c r="C5" i="5"/>
  <c r="E5" i="4"/>
  <c r="E7" i="4" s="1"/>
  <c r="D5" i="4"/>
  <c r="G5" i="3"/>
  <c r="G7" i="3" s="1"/>
  <c r="F5" i="3"/>
  <c r="D5" i="3"/>
  <c r="G5" i="2"/>
  <c r="G7" i="2" s="1"/>
  <c r="F5" i="2"/>
  <c r="E5" i="2"/>
  <c r="F5" i="1"/>
  <c r="E5" i="1"/>
  <c r="C7" i="5"/>
  <c r="K27" i="5"/>
  <c r="K28" i="5"/>
  <c r="J12" i="5"/>
  <c r="I12" i="5"/>
  <c r="H12" i="5"/>
  <c r="G12" i="5"/>
  <c r="F12" i="5"/>
  <c r="E12" i="5"/>
  <c r="D12" i="5"/>
  <c r="C12" i="5"/>
  <c r="C9" i="5"/>
  <c r="D9" i="5"/>
  <c r="E9" i="5"/>
  <c r="F9" i="5"/>
  <c r="G9" i="5"/>
  <c r="H9" i="5"/>
  <c r="I9" i="5"/>
  <c r="J29" i="5"/>
  <c r="J13" i="5" s="1"/>
  <c r="I29" i="5"/>
  <c r="I13" i="5" s="1"/>
  <c r="H29" i="5"/>
  <c r="H13" i="5" s="1"/>
  <c r="G29" i="5"/>
  <c r="G13" i="5" s="1"/>
  <c r="F29" i="5"/>
  <c r="F13" i="5" s="1"/>
  <c r="E29" i="5"/>
  <c r="E13" i="5" s="1"/>
  <c r="D29" i="5"/>
  <c r="D13" i="5" s="1"/>
  <c r="C29" i="5"/>
  <c r="C13" i="5" s="1"/>
  <c r="K14" i="5"/>
  <c r="B12" i="5"/>
  <c r="K11" i="5"/>
  <c r="B9" i="5"/>
  <c r="B10" i="5" s="1"/>
  <c r="B15" i="5" s="1"/>
  <c r="K8" i="5"/>
  <c r="K6" i="5"/>
  <c r="J7" i="5"/>
  <c r="J10" i="5" s="1"/>
  <c r="I7" i="5"/>
  <c r="I10" i="5" s="1"/>
  <c r="H7" i="5"/>
  <c r="G7" i="5"/>
  <c r="F7" i="5"/>
  <c r="E7" i="5"/>
  <c r="E10" i="5" s="1"/>
  <c r="D7" i="5"/>
  <c r="K4" i="5"/>
  <c r="C5" i="4"/>
  <c r="C7" i="4" s="1"/>
  <c r="J12" i="4"/>
  <c r="I12" i="4"/>
  <c r="H12" i="4"/>
  <c r="G12" i="4"/>
  <c r="F12" i="4"/>
  <c r="E12" i="4"/>
  <c r="D12" i="4"/>
  <c r="C12" i="4"/>
  <c r="J5" i="4"/>
  <c r="I5" i="4"/>
  <c r="I7" i="4" s="1"/>
  <c r="H5" i="4"/>
  <c r="G5" i="4"/>
  <c r="G7" i="4" s="1"/>
  <c r="F5" i="4"/>
  <c r="J29" i="4"/>
  <c r="J13" i="4" s="1"/>
  <c r="I29" i="4"/>
  <c r="I13" i="4" s="1"/>
  <c r="H29" i="4"/>
  <c r="H13" i="4" s="1"/>
  <c r="G29" i="4"/>
  <c r="G13" i="4" s="1"/>
  <c r="F29" i="4"/>
  <c r="F13" i="4" s="1"/>
  <c r="E29" i="4"/>
  <c r="E13" i="4" s="1"/>
  <c r="D29" i="4"/>
  <c r="D13" i="4" s="1"/>
  <c r="C29" i="4"/>
  <c r="C13" i="4" s="1"/>
  <c r="K28" i="4"/>
  <c r="K29" i="4" s="1"/>
  <c r="K14" i="4"/>
  <c r="B12" i="4"/>
  <c r="K11" i="4"/>
  <c r="I9" i="4"/>
  <c r="H9" i="4"/>
  <c r="G9" i="4"/>
  <c r="F9" i="4"/>
  <c r="E9" i="4"/>
  <c r="D9" i="4"/>
  <c r="C9" i="4"/>
  <c r="B9" i="4"/>
  <c r="K8" i="4"/>
  <c r="K6" i="4"/>
  <c r="J7" i="4"/>
  <c r="J10" i="4" s="1"/>
  <c r="H7" i="4"/>
  <c r="H10" i="4" s="1"/>
  <c r="F7" i="4"/>
  <c r="D7" i="4"/>
  <c r="K4" i="4"/>
  <c r="J12" i="3"/>
  <c r="I12" i="3"/>
  <c r="H12" i="3"/>
  <c r="G12" i="3"/>
  <c r="F12" i="3"/>
  <c r="E12" i="3"/>
  <c r="D12" i="3"/>
  <c r="C12" i="3"/>
  <c r="J5" i="3"/>
  <c r="I5" i="3"/>
  <c r="H5" i="3"/>
  <c r="E5" i="3"/>
  <c r="C5" i="3"/>
  <c r="J29" i="3"/>
  <c r="I29" i="3"/>
  <c r="H29" i="3"/>
  <c r="G29" i="3"/>
  <c r="F29" i="3"/>
  <c r="E29" i="3"/>
  <c r="D29" i="3"/>
  <c r="C29" i="3"/>
  <c r="K28" i="3"/>
  <c r="K29" i="3" s="1"/>
  <c r="K14" i="3"/>
  <c r="J13" i="3"/>
  <c r="I13" i="3"/>
  <c r="H13" i="3"/>
  <c r="G13" i="3"/>
  <c r="F13" i="3"/>
  <c r="E13" i="3"/>
  <c r="D13" i="3"/>
  <c r="C13" i="3"/>
  <c r="K13" i="3" s="1"/>
  <c r="B12" i="3"/>
  <c r="K11" i="3"/>
  <c r="I9" i="3"/>
  <c r="H9" i="3"/>
  <c r="G9" i="3"/>
  <c r="F9" i="3"/>
  <c r="E9" i="3"/>
  <c r="D9" i="3"/>
  <c r="C9" i="3"/>
  <c r="B9" i="3"/>
  <c r="K8" i="3"/>
  <c r="J7" i="3"/>
  <c r="J10" i="3" s="1"/>
  <c r="J15" i="3" s="1"/>
  <c r="I7" i="3"/>
  <c r="I10" i="3" s="1"/>
  <c r="I15" i="3" s="1"/>
  <c r="H7" i="3"/>
  <c r="H10" i="3" s="1"/>
  <c r="H15" i="3" s="1"/>
  <c r="K6" i="3"/>
  <c r="F7" i="3"/>
  <c r="F10" i="3" s="1"/>
  <c r="F15" i="3" s="1"/>
  <c r="E7" i="3"/>
  <c r="D7" i="3"/>
  <c r="D10" i="3" s="1"/>
  <c r="D15" i="3" s="1"/>
  <c r="C7" i="3"/>
  <c r="K4" i="3"/>
  <c r="D5" i="2"/>
  <c r="C5" i="2"/>
  <c r="J12" i="2"/>
  <c r="I12" i="2"/>
  <c r="H12" i="2"/>
  <c r="G12" i="2"/>
  <c r="F12" i="2"/>
  <c r="E12" i="2"/>
  <c r="D12" i="2"/>
  <c r="C12" i="2"/>
  <c r="J29" i="2"/>
  <c r="J13" i="2" s="1"/>
  <c r="I29" i="2"/>
  <c r="I13" i="2" s="1"/>
  <c r="H29" i="2"/>
  <c r="H13" i="2" s="1"/>
  <c r="G29" i="2"/>
  <c r="G13" i="2" s="1"/>
  <c r="F29" i="2"/>
  <c r="F13" i="2" s="1"/>
  <c r="E29" i="2"/>
  <c r="E13" i="2" s="1"/>
  <c r="D29" i="2"/>
  <c r="D13" i="2" s="1"/>
  <c r="C29" i="2"/>
  <c r="C13" i="2" s="1"/>
  <c r="K28" i="2"/>
  <c r="K29" i="2" s="1"/>
  <c r="K14" i="2"/>
  <c r="B12" i="2"/>
  <c r="K11" i="2"/>
  <c r="I9" i="2"/>
  <c r="H9" i="2"/>
  <c r="G9" i="2"/>
  <c r="F9" i="2"/>
  <c r="E9" i="2"/>
  <c r="D9" i="2"/>
  <c r="C9" i="2"/>
  <c r="B9" i="2"/>
  <c r="K8" i="2"/>
  <c r="K6" i="2"/>
  <c r="J7" i="2"/>
  <c r="J10" i="2" s="1"/>
  <c r="I7" i="2"/>
  <c r="I10" i="2" s="1"/>
  <c r="H7" i="2"/>
  <c r="H10" i="2" s="1"/>
  <c r="F7" i="2"/>
  <c r="F10" i="2" s="1"/>
  <c r="E7" i="2"/>
  <c r="E10" i="2" s="1"/>
  <c r="D7" i="2"/>
  <c r="D10" i="2" s="1"/>
  <c r="C7" i="2"/>
  <c r="C10" i="2" s="1"/>
  <c r="K4" i="2"/>
  <c r="G5" i="1"/>
  <c r="G5" i="6" s="1"/>
  <c r="G7" i="6" s="1"/>
  <c r="D5" i="1"/>
  <c r="D5" i="6" s="1"/>
  <c r="C5" i="1"/>
  <c r="C5" i="6" s="1"/>
  <c r="C7" i="6" s="1"/>
  <c r="H5" i="1"/>
  <c r="H5" i="6" s="1"/>
  <c r="K87" i="8" l="1"/>
  <c r="K93" i="8" s="1"/>
  <c r="K69" i="8"/>
  <c r="K37" i="8"/>
  <c r="H97" i="8"/>
  <c r="K94" i="8"/>
  <c r="K97" i="8"/>
  <c r="K99" i="8" s="1"/>
  <c r="K72" i="8"/>
  <c r="K74" i="8" s="1"/>
  <c r="K75" i="8" s="1"/>
  <c r="K43" i="8"/>
  <c r="K122" i="8"/>
  <c r="K124" i="8" s="1"/>
  <c r="K125" i="8" s="1"/>
  <c r="K68" i="8"/>
  <c r="K47" i="8"/>
  <c r="K49" i="8" s="1"/>
  <c r="K50" i="8" s="1"/>
  <c r="B137" i="8"/>
  <c r="B143" i="8" s="1"/>
  <c r="B144" i="8" s="1"/>
  <c r="K136" i="8"/>
  <c r="K134" i="8"/>
  <c r="K119" i="8"/>
  <c r="K112" i="8"/>
  <c r="K118" i="8" s="1"/>
  <c r="K44" i="8"/>
  <c r="C10" i="6"/>
  <c r="G10" i="6"/>
  <c r="K8" i="6"/>
  <c r="K12" i="5"/>
  <c r="C10" i="5"/>
  <c r="C15" i="5" s="1"/>
  <c r="C16" i="5" s="1"/>
  <c r="C19" i="5" s="1"/>
  <c r="K29" i="5"/>
  <c r="K6" i="6"/>
  <c r="K11" i="6"/>
  <c r="H7" i="6"/>
  <c r="H10" i="6" s="1"/>
  <c r="D7" i="6"/>
  <c r="D10" i="6" s="1"/>
  <c r="C29" i="6"/>
  <c r="C13" i="6" s="1"/>
  <c r="K4" i="6"/>
  <c r="K13" i="4"/>
  <c r="F5" i="6"/>
  <c r="F7" i="6" s="1"/>
  <c r="F10" i="6" s="1"/>
  <c r="H15" i="4"/>
  <c r="J15" i="4"/>
  <c r="E5" i="6"/>
  <c r="E7" i="6" s="1"/>
  <c r="E10" i="6" s="1"/>
  <c r="K9" i="2"/>
  <c r="K13" i="2"/>
  <c r="D15" i="2"/>
  <c r="I15" i="2"/>
  <c r="G10" i="2"/>
  <c r="G15" i="2" s="1"/>
  <c r="C15" i="2"/>
  <c r="E15" i="2"/>
  <c r="H15" i="2"/>
  <c r="J15" i="2"/>
  <c r="K13" i="6"/>
  <c r="K29" i="6"/>
  <c r="K9" i="6"/>
  <c r="G10" i="5"/>
  <c r="K9" i="5"/>
  <c r="K13" i="5"/>
  <c r="J15" i="5"/>
  <c r="J16" i="5" s="1"/>
  <c r="J19" i="5" s="1"/>
  <c r="E15" i="5"/>
  <c r="G15" i="5"/>
  <c r="G16" i="5" s="1"/>
  <c r="G19" i="5" s="1"/>
  <c r="I15" i="5"/>
  <c r="D10" i="5"/>
  <c r="D15" i="5" s="1"/>
  <c r="D16" i="5" s="1"/>
  <c r="D19" i="5" s="1"/>
  <c r="F10" i="5"/>
  <c r="F15" i="5" s="1"/>
  <c r="F16" i="5" s="1"/>
  <c r="F19" i="5" s="1"/>
  <c r="H10" i="5"/>
  <c r="H15" i="5" s="1"/>
  <c r="H16" i="5" s="1"/>
  <c r="H19" i="5" s="1"/>
  <c r="E16" i="5"/>
  <c r="E19" i="5" s="1"/>
  <c r="I16" i="5"/>
  <c r="I19" i="5" s="1"/>
  <c r="K5" i="5"/>
  <c r="K7" i="5" s="1"/>
  <c r="B16" i="5"/>
  <c r="F10" i="4"/>
  <c r="F15" i="4" s="1"/>
  <c r="D10" i="4"/>
  <c r="D15" i="4" s="1"/>
  <c r="D16" i="4" s="1"/>
  <c r="D19" i="4" s="1"/>
  <c r="C10" i="4"/>
  <c r="C15" i="4" s="1"/>
  <c r="E10" i="4"/>
  <c r="E15" i="4" s="1"/>
  <c r="E16" i="4" s="1"/>
  <c r="E19" i="4" s="1"/>
  <c r="G10" i="4"/>
  <c r="G15" i="4" s="1"/>
  <c r="G16" i="4" s="1"/>
  <c r="G19" i="4" s="1"/>
  <c r="I10" i="4"/>
  <c r="I15" i="4" s="1"/>
  <c r="K9" i="4"/>
  <c r="B10" i="4"/>
  <c r="B15" i="4" s="1"/>
  <c r="B16" i="4" s="1"/>
  <c r="C16" i="4"/>
  <c r="C19" i="4" s="1"/>
  <c r="I16" i="4"/>
  <c r="I19" i="4" s="1"/>
  <c r="F16" i="4"/>
  <c r="F19" i="4" s="1"/>
  <c r="H16" i="4"/>
  <c r="H19" i="4" s="1"/>
  <c r="J16" i="4"/>
  <c r="J19" i="4" s="1"/>
  <c r="K12" i="4"/>
  <c r="K5" i="4"/>
  <c r="K7" i="4" s="1"/>
  <c r="K10" i="4" s="1"/>
  <c r="C10" i="3"/>
  <c r="C15" i="3" s="1"/>
  <c r="C16" i="3" s="1"/>
  <c r="C19" i="3" s="1"/>
  <c r="E10" i="3"/>
  <c r="E15" i="3" s="1"/>
  <c r="E16" i="3" s="1"/>
  <c r="E19" i="3" s="1"/>
  <c r="G10" i="3"/>
  <c r="G15" i="3" s="1"/>
  <c r="G16" i="3" s="1"/>
  <c r="G19" i="3" s="1"/>
  <c r="K9" i="3"/>
  <c r="I16" i="3"/>
  <c r="I19" i="3" s="1"/>
  <c r="D16" i="3"/>
  <c r="D19" i="3" s="1"/>
  <c r="F16" i="3"/>
  <c r="F19" i="3" s="1"/>
  <c r="H16" i="3"/>
  <c r="H19" i="3" s="1"/>
  <c r="J16" i="3"/>
  <c r="J19" i="3" s="1"/>
  <c r="B10" i="3"/>
  <c r="B15" i="3" s="1"/>
  <c r="B16" i="3" s="1"/>
  <c r="K12" i="3"/>
  <c r="K5" i="3"/>
  <c r="K7" i="3" s="1"/>
  <c r="F15" i="2"/>
  <c r="F16" i="2" s="1"/>
  <c r="F19" i="2" s="1"/>
  <c r="C16" i="2"/>
  <c r="C19" i="2" s="1"/>
  <c r="E16" i="2"/>
  <c r="E19" i="2" s="1"/>
  <c r="G16" i="2"/>
  <c r="G19" i="2" s="1"/>
  <c r="I16" i="2"/>
  <c r="I19" i="2" s="1"/>
  <c r="D16" i="2"/>
  <c r="D19" i="2" s="1"/>
  <c r="H16" i="2"/>
  <c r="H19" i="2" s="1"/>
  <c r="J16" i="2"/>
  <c r="J19" i="2" s="1"/>
  <c r="B10" i="2"/>
  <c r="B15" i="2" s="1"/>
  <c r="B16" i="2" s="1"/>
  <c r="K12" i="2"/>
  <c r="K5" i="2"/>
  <c r="K7" i="2" s="1"/>
  <c r="K10" i="2" s="1"/>
  <c r="J5" i="1"/>
  <c r="J5" i="6" s="1"/>
  <c r="J7" i="6" s="1"/>
  <c r="J10" i="6" s="1"/>
  <c r="I5" i="1"/>
  <c r="I5" i="6" s="1"/>
  <c r="I7" i="6" s="1"/>
  <c r="I10" i="6" s="1"/>
  <c r="K28" i="1"/>
  <c r="J12" i="1"/>
  <c r="J12" i="6" s="1"/>
  <c r="I12" i="1"/>
  <c r="I12" i="6" s="1"/>
  <c r="H12" i="1"/>
  <c r="H12" i="6" s="1"/>
  <c r="H15" i="6" s="1"/>
  <c r="G12" i="1"/>
  <c r="G12" i="6" s="1"/>
  <c r="G15" i="6" s="1"/>
  <c r="F12" i="1"/>
  <c r="F12" i="6" s="1"/>
  <c r="E12" i="1"/>
  <c r="E12" i="6" s="1"/>
  <c r="D12" i="1"/>
  <c r="D12" i="6" s="1"/>
  <c r="D15" i="6" s="1"/>
  <c r="C12" i="1"/>
  <c r="C12" i="6" s="1"/>
  <c r="K137" i="8" l="1"/>
  <c r="K143" i="8" s="1"/>
  <c r="K144" i="8"/>
  <c r="B147" i="8"/>
  <c r="K147" i="8" s="1"/>
  <c r="K149" i="8" s="1"/>
  <c r="K150" i="8" s="1"/>
  <c r="C15" i="6"/>
  <c r="J15" i="6"/>
  <c r="J16" i="6" s="1"/>
  <c r="J19" i="6" s="1"/>
  <c r="K5" i="6"/>
  <c r="K7" i="6" s="1"/>
  <c r="G16" i="6"/>
  <c r="G19" i="6" s="1"/>
  <c r="C16" i="6"/>
  <c r="C19" i="6" s="1"/>
  <c r="H16" i="6"/>
  <c r="H19" i="6" s="1"/>
  <c r="D16" i="6"/>
  <c r="D19" i="6" s="1"/>
  <c r="E15" i="6"/>
  <c r="E16" i="6" s="1"/>
  <c r="E19" i="6" s="1"/>
  <c r="F15" i="6"/>
  <c r="F16" i="6" s="1"/>
  <c r="F19" i="6" s="1"/>
  <c r="I15" i="6"/>
  <c r="I16" i="6" s="1"/>
  <c r="I19" i="6" s="1"/>
  <c r="K10" i="6"/>
  <c r="K10" i="5"/>
  <c r="K15" i="5" s="1"/>
  <c r="K16" i="5"/>
  <c r="B19" i="5"/>
  <c r="K19" i="5" s="1"/>
  <c r="K21" i="5" s="1"/>
  <c r="K22" i="5" s="1"/>
  <c r="K15" i="4"/>
  <c r="B19" i="4"/>
  <c r="K19" i="4" s="1"/>
  <c r="K21" i="4" s="1"/>
  <c r="K22" i="4" s="1"/>
  <c r="K16" i="4"/>
  <c r="K10" i="3"/>
  <c r="K15" i="3" s="1"/>
  <c r="B19" i="3"/>
  <c r="K19" i="3" s="1"/>
  <c r="K21" i="3" s="1"/>
  <c r="K22" i="3" s="1"/>
  <c r="K16" i="3"/>
  <c r="K15" i="2"/>
  <c r="B19" i="2"/>
  <c r="K19" i="2" s="1"/>
  <c r="K21" i="2" s="1"/>
  <c r="K22" i="2" s="1"/>
  <c r="K16" i="2"/>
  <c r="J29" i="1"/>
  <c r="J13" i="1" s="1"/>
  <c r="I29" i="1"/>
  <c r="I13" i="1" s="1"/>
  <c r="H29" i="1"/>
  <c r="H13" i="1" s="1"/>
  <c r="G29" i="1"/>
  <c r="G13" i="1" s="1"/>
  <c r="F29" i="1"/>
  <c r="F13" i="1" s="1"/>
  <c r="E29" i="1"/>
  <c r="E13" i="1" s="1"/>
  <c r="D29" i="1"/>
  <c r="D13" i="1" s="1"/>
  <c r="C29" i="1"/>
  <c r="C13" i="1" s="1"/>
  <c r="K29" i="1"/>
  <c r="K14" i="1"/>
  <c r="K13" i="1"/>
  <c r="B12" i="1"/>
  <c r="B12" i="6" s="1"/>
  <c r="K11" i="1"/>
  <c r="I9" i="1"/>
  <c r="H9" i="1"/>
  <c r="G9" i="1"/>
  <c r="F9" i="1"/>
  <c r="E9" i="1"/>
  <c r="D9" i="1"/>
  <c r="C9" i="1"/>
  <c r="B9" i="1"/>
  <c r="B10" i="1" s="1"/>
  <c r="B15" i="1" s="1"/>
  <c r="K8" i="1"/>
  <c r="K6" i="1"/>
  <c r="J7" i="1"/>
  <c r="J10" i="1" s="1"/>
  <c r="J15" i="1" s="1"/>
  <c r="I7" i="1"/>
  <c r="H7" i="1"/>
  <c r="H10" i="1" s="1"/>
  <c r="H15" i="1" s="1"/>
  <c r="G7" i="1"/>
  <c r="F7" i="1"/>
  <c r="F10" i="1" s="1"/>
  <c r="F15" i="1" s="1"/>
  <c r="E7" i="1"/>
  <c r="D7" i="1"/>
  <c r="D10" i="1" s="1"/>
  <c r="D15" i="1" s="1"/>
  <c r="C7" i="1"/>
  <c r="C10" i="1" s="1"/>
  <c r="C15" i="1" s="1"/>
  <c r="K4" i="1"/>
  <c r="L24" i="5" l="1"/>
  <c r="G5" i="7"/>
  <c r="I5" i="7" s="1"/>
  <c r="L24" i="4"/>
  <c r="G10" i="7"/>
  <c r="I10" i="7" s="1"/>
  <c r="L24" i="3"/>
  <c r="G9" i="7"/>
  <c r="I9" i="7" s="1"/>
  <c r="L24" i="2"/>
  <c r="G8" i="7"/>
  <c r="I8" i="7" s="1"/>
  <c r="K12" i="6"/>
  <c r="B15" i="6"/>
  <c r="B16" i="6" s="1"/>
  <c r="K15" i="6"/>
  <c r="I10" i="1"/>
  <c r="I15" i="1" s="1"/>
  <c r="I16" i="1" s="1"/>
  <c r="I19" i="1" s="1"/>
  <c r="G10" i="1"/>
  <c r="G15" i="1" s="1"/>
  <c r="G16" i="1" s="1"/>
  <c r="G19" i="1" s="1"/>
  <c r="E10" i="1"/>
  <c r="E15" i="1" s="1"/>
  <c r="E16" i="1" s="1"/>
  <c r="E19" i="1" s="1"/>
  <c r="B16" i="1"/>
  <c r="D16" i="1"/>
  <c r="D19" i="1" s="1"/>
  <c r="F16" i="1"/>
  <c r="F19" i="1" s="1"/>
  <c r="H16" i="1"/>
  <c r="H19" i="1" s="1"/>
  <c r="J16" i="1"/>
  <c r="J19" i="1" s="1"/>
  <c r="C16" i="1"/>
  <c r="C19" i="1" s="1"/>
  <c r="K5" i="1"/>
  <c r="K7" i="1" s="1"/>
  <c r="K9" i="1"/>
  <c r="K12" i="1"/>
  <c r="K16" i="6" l="1"/>
  <c r="B19" i="6"/>
  <c r="K19" i="6" s="1"/>
  <c r="K21" i="6" s="1"/>
  <c r="K22" i="6" s="1"/>
  <c r="K10" i="1"/>
  <c r="K15" i="1" s="1"/>
  <c r="B19" i="1"/>
  <c r="K19" i="1" s="1"/>
  <c r="K21" i="1" s="1"/>
  <c r="K22" i="1" s="1"/>
  <c r="K16" i="1"/>
  <c r="L24" i="1" l="1"/>
  <c r="G7" i="7"/>
  <c r="I7" i="7" s="1"/>
  <c r="L24" i="6"/>
  <c r="G12" i="7"/>
  <c r="I12" i="7" s="1"/>
</calcChain>
</file>

<file path=xl/sharedStrings.xml><?xml version="1.0" encoding="utf-8"?>
<sst xmlns="http://schemas.openxmlformats.org/spreadsheetml/2006/main" count="1948" uniqueCount="136">
  <si>
    <t>(A- are Band A dwellings with disabled reduction)</t>
  </si>
  <si>
    <t>Band A-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</si>
  <si>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</si>
  <si>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</si>
  <si>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</si>
  <si>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</si>
  <si>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</si>
  <si>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</si>
  <si>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</si>
  <si>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</si>
  <si>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Total</t>
  </si>
  <si>
    <t>OK</t>
  </si>
  <si>
    <t>plus</t>
  </si>
  <si>
    <t>3. Number of dwellings eligible for CTRS</t>
  </si>
  <si>
    <r>
      <t>4</t>
    </r>
    <r>
      <rPr>
        <sz val="8"/>
        <rFont val="Arial"/>
        <family val="2"/>
      </rPr>
      <t>. No.of chargeable dwellings for 2013/14 (lines 1-2-3)</t>
    </r>
  </si>
  <si>
    <r>
      <t>6</t>
    </r>
    <r>
      <rPr>
        <sz val="8"/>
        <rFont val="Arial"/>
        <family val="2"/>
      </rPr>
      <t>. Number of dwellings effectively subject to council tax for this band by virtue of disabled relief (line 5 after reduction)</t>
    </r>
  </si>
  <si>
    <r>
      <t>7</t>
    </r>
    <r>
      <rPr>
        <sz val="8"/>
        <rFont val="Arial"/>
        <family val="2"/>
      </rPr>
      <t>. Number of chargeable dwellings adjusted in accordance with lines 5 and 6 (lines 4-5+6)</t>
    </r>
  </si>
  <si>
    <t>8. Est. of number of dwellings in line 7 entitled to a 25% discount (former A and C exemptions)</t>
  </si>
  <si>
    <r>
      <t>12</t>
    </r>
    <r>
      <rPr>
        <sz val="8"/>
        <rFont val="Arial"/>
        <family val="2"/>
      </rPr>
      <t>. Number of dwellings in line 7 assumed to be entitled to no discounts (lines 7-8-9-10-11)</t>
    </r>
  </si>
  <si>
    <r>
      <t>13</t>
    </r>
    <r>
      <rPr>
        <sz val="8"/>
        <rFont val="Arial"/>
        <family val="2"/>
      </rPr>
      <t>. Total equivalent number of dwellings after discounts, exemptions and disabled relief [(line 8 x 0.75) +(line 9 x 0.75)+ (lines 10 x 0.5)+(line 11 x 1.5) + line 12]</t>
    </r>
  </si>
  <si>
    <r>
      <t>14</t>
    </r>
    <r>
      <rPr>
        <sz val="8"/>
        <rFont val="Arial"/>
        <family val="2"/>
      </rPr>
      <t>. Ratio to band D</t>
    </r>
  </si>
  <si>
    <t>5\9</t>
  </si>
  <si>
    <t>6\9</t>
  </si>
  <si>
    <t>7\9</t>
  </si>
  <si>
    <t>8\9</t>
  </si>
  <si>
    <t>11\9</t>
  </si>
  <si>
    <t>13\9</t>
  </si>
  <si>
    <t>15\9</t>
  </si>
  <si>
    <t>18\9</t>
  </si>
  <si>
    <r>
      <t>15</t>
    </r>
    <r>
      <rPr>
        <sz val="8"/>
        <rFont val="Arial"/>
        <family val="2"/>
      </rPr>
      <t>. Number of band D equivalents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(line 13 x line 14)</t>
    </r>
  </si>
  <si>
    <r>
      <t>17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Oxford City Council Billing Authority (line 15 + line 16)</t>
    </r>
  </si>
  <si>
    <t>Double Disregard ct6140d line 10</t>
  </si>
  <si>
    <t>SETTING OF THE COUNCIL TAX BASE FOR 2015/2016</t>
  </si>
  <si>
    <t>As at 08/11</t>
  </si>
  <si>
    <t>1. Total number of dwellings as at Nov 30th 2014</t>
  </si>
  <si>
    <t>2014/15</t>
  </si>
  <si>
    <t>Net</t>
  </si>
  <si>
    <t xml:space="preserve">5. Number of chargeable dwellings (line 4) subject to disabled reduction on Nov 30th 2014 </t>
  </si>
  <si>
    <t>10. Number of dwellings in line 7 entitled to a 50% discount on Nov 30th 2014</t>
  </si>
  <si>
    <t>11 Long Term Empty Premium cases at Nov 30th 2014</t>
  </si>
  <si>
    <r>
      <t>16.</t>
    </r>
    <r>
      <rPr>
        <sz val="8"/>
        <rFont val="Arial"/>
        <family val="2"/>
      </rPr>
      <t xml:space="preserve"> Number of band D equivalents of contributions in lieu (in respect of Class O exempt dwellings) in 2014/15</t>
    </r>
  </si>
  <si>
    <t>9. Number of dwellings in line 7 entitled to a 25% discount on Nov 30th 2014</t>
  </si>
  <si>
    <t>2. Number of dwellings exempt in 2014/15</t>
  </si>
  <si>
    <t>ct6140d</t>
  </si>
  <si>
    <t>exempts</t>
  </si>
  <si>
    <t>Exempt C</t>
  </si>
  <si>
    <t>ct6140b</t>
  </si>
  <si>
    <t>old exempt A</t>
  </si>
  <si>
    <t>ct6140b 08/11</t>
  </si>
  <si>
    <t>LTEP</t>
  </si>
  <si>
    <t>see below</t>
  </si>
  <si>
    <t>Standard Empty</t>
  </si>
  <si>
    <r>
      <t>18</t>
    </r>
    <r>
      <rPr>
        <sz val="8"/>
        <rFont val="Arial"/>
        <family val="2"/>
      </rPr>
      <t xml:space="preserve">. At projected collection rate of </t>
    </r>
    <r>
      <rPr>
        <b/>
        <sz val="8"/>
        <rFont val="Arial"/>
        <family val="2"/>
      </rPr>
      <t>97.5%</t>
    </r>
  </si>
  <si>
    <r>
      <t>4</t>
    </r>
    <r>
      <rPr>
        <sz val="8"/>
        <rFont val="Arial"/>
        <family val="2"/>
      </rPr>
      <t>. No.of chargeable dwellings for 2014/15 (lines 1-2-3)</t>
    </r>
  </si>
  <si>
    <t>reduced from 1,493</t>
  </si>
  <si>
    <t>TOTAL FOR LITTLEMORE PARISH COUNCIL</t>
  </si>
  <si>
    <t>TOTAL FOR OLD MARSTON PARISH COUNCIL</t>
  </si>
  <si>
    <t>TOTAL FOR RISINGHURST &amp; SANDHILLS PC</t>
  </si>
  <si>
    <t>TOTAL FOR BLACKBIRD LEYS PARISH COUNCIL</t>
  </si>
  <si>
    <t>TOTAL FOR OXFORD CITY COUNCIL</t>
  </si>
  <si>
    <t>TOTAL FOR THE UNPARISHED AREA OF OXFORD CITY COUNCIL</t>
  </si>
  <si>
    <t>Oxford City Council</t>
  </si>
  <si>
    <t>Littlemore</t>
  </si>
  <si>
    <t>Old Marston</t>
  </si>
  <si>
    <t>Risinghurst &amp; S</t>
  </si>
  <si>
    <t>Blackbird Leys</t>
  </si>
  <si>
    <t>Unparished Area</t>
  </si>
  <si>
    <t>2015/16</t>
  </si>
  <si>
    <t>Before New Builds</t>
  </si>
  <si>
    <t>Increase on</t>
  </si>
  <si>
    <t>APPENDIX 1</t>
  </si>
  <si>
    <t>TOTAL FOR OXFORD CITY COUNCIL BILLING AUTHORITY</t>
  </si>
  <si>
    <r>
      <t xml:space="preserve">1a. </t>
    </r>
    <r>
      <rPr>
        <sz val="8"/>
        <rFont val="Arial"/>
        <family val="2"/>
      </rPr>
      <t>Estimated new dwellings for Dec 1st - Mar 31</t>
    </r>
  </si>
  <si>
    <r>
      <t xml:space="preserve">11 </t>
    </r>
    <r>
      <rPr>
        <sz val="8"/>
        <rFont val="Arial"/>
        <family val="2"/>
      </rPr>
      <t>Additional 50% discounts for new dwellings</t>
    </r>
  </si>
  <si>
    <r>
      <t xml:space="preserve">12. </t>
    </r>
    <r>
      <rPr>
        <sz val="8"/>
        <rFont val="Arial"/>
        <family val="2"/>
      </rPr>
      <t>Dwellings subject to Long Term Premium</t>
    </r>
  </si>
  <si>
    <r>
      <t>13</t>
    </r>
    <r>
      <rPr>
        <sz val="8"/>
        <rFont val="Arial"/>
        <family val="2"/>
      </rPr>
      <t>. Number of dwellings in line 7 assumed to be entitled to no discounts / premium (lines 7-8-9-10-11-12)</t>
    </r>
  </si>
  <si>
    <r>
      <t>14</t>
    </r>
    <r>
      <rPr>
        <sz val="8"/>
        <rFont val="Arial"/>
        <family val="2"/>
      </rPr>
      <t>. Total equivalent number of dwellings after discounts, exemptions and disabled relief [(line 8 x 0.75) +(line 9 x 0.75)+ (lines 10 and 11 x 0.5) + (line 12 x 1.5) + line 13</t>
    </r>
  </si>
  <si>
    <r>
      <t>15</t>
    </r>
    <r>
      <rPr>
        <sz val="8"/>
        <rFont val="Arial"/>
        <family val="2"/>
      </rPr>
      <t>. Ratio to band D</t>
    </r>
  </si>
  <si>
    <r>
      <t>16</t>
    </r>
    <r>
      <rPr>
        <sz val="8"/>
        <rFont val="Arial"/>
        <family val="2"/>
      </rPr>
      <t>. Number of band D equivalents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(line 14 x line 15)</t>
    </r>
  </si>
  <si>
    <r>
      <t>18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Oxford City Council Billing Authority (line 16 + line 17)</t>
    </r>
  </si>
  <si>
    <t>APPENDIX 2</t>
  </si>
  <si>
    <t>TOTAL FOR RISINGHURST AND SANDHILLS PARISH COUNCIL</t>
  </si>
  <si>
    <t>TOTAL FOR UNPARISHED AREA OF OXFORD CITY COUNCIL</t>
  </si>
  <si>
    <r>
      <t xml:space="preserve">1b. </t>
    </r>
    <r>
      <rPr>
        <sz val="8"/>
        <rFont val="Arial"/>
        <family val="2"/>
      </rPr>
      <t>Estimated new dwellings 2015-16</t>
    </r>
  </si>
  <si>
    <t>2. Number of dwellings exempt 2015/16</t>
  </si>
  <si>
    <r>
      <t>4</t>
    </r>
    <r>
      <rPr>
        <sz val="8"/>
        <rFont val="Arial"/>
        <family val="2"/>
      </rPr>
      <t>. No.of chargeable dwellings for 2015/16(lines 1+1a+1b -2-3)</t>
    </r>
  </si>
  <si>
    <t xml:space="preserve">5. Number of chargeable dwellings (line 4) subject to disabled reduction on 30 November 2014 </t>
  </si>
  <si>
    <t>9. Number of dwellings in line 7 entitled to a 25% discount on 30 November 2014</t>
  </si>
  <si>
    <t>10. Number of dwellings in line 7 entitled to a 50% discount on 30 November 2014</t>
  </si>
  <si>
    <r>
      <t>17.</t>
    </r>
    <r>
      <rPr>
        <sz val="8"/>
        <rFont val="Arial"/>
        <family val="2"/>
      </rPr>
      <t xml:space="preserve"> Number of band D equivalents of contributions in lieu (in respect of Class O exempt dwellings) in 2015/16</t>
    </r>
  </si>
  <si>
    <r>
      <t>19</t>
    </r>
    <r>
      <rPr>
        <sz val="8"/>
        <rFont val="Arial"/>
        <family val="2"/>
      </rPr>
      <t>. At projected collection rate of 97.5%</t>
    </r>
  </si>
  <si>
    <t>8. Est. of number of dwellings in line 7 entitled to a 25% discount (former Class A exemptions)</t>
  </si>
  <si>
    <t>S Empty</t>
  </si>
  <si>
    <t>Double D</t>
  </si>
  <si>
    <t>AS at 15/11</t>
  </si>
  <si>
    <t>AS at 22/11</t>
  </si>
  <si>
    <r>
      <t>3</t>
    </r>
    <r>
      <rPr>
        <sz val="8"/>
        <rFont val="Arial"/>
        <family val="2"/>
      </rPr>
      <t>. No.of chargeable dwellings for 2015/16(lines 1+1a+1b -2)</t>
    </r>
  </si>
  <si>
    <t xml:space="preserve">4. Number of chargeable dwellings (line 3) subject to disabled reduction on 30 November 2014 </t>
  </si>
  <si>
    <r>
      <t>5</t>
    </r>
    <r>
      <rPr>
        <sz val="8"/>
        <rFont val="Arial"/>
        <family val="2"/>
      </rPr>
      <t>. Number of dwellings effectively subject to council tax for this band by virtue of disabled relief (line 5 after reduction)</t>
    </r>
  </si>
  <si>
    <r>
      <t>6</t>
    </r>
    <r>
      <rPr>
        <sz val="8"/>
        <rFont val="Arial"/>
        <family val="2"/>
      </rPr>
      <t>. Number of chargeable dwellings adjusted in accordance with lines 4 and 5 (lines 3-4+5)</t>
    </r>
  </si>
  <si>
    <t>7. Est. of number of dwellings in line 6 entitled to a 25% discount (former Class A exemptions)</t>
  </si>
  <si>
    <t>8. Number of dwellings in line 6 entitled to a 25% discount on 30 November 2014</t>
  </si>
  <si>
    <t>9. Number of dwellings in line 6 entitled to a 50% discount on 30 November 2014</t>
  </si>
  <si>
    <r>
      <t xml:space="preserve">10 </t>
    </r>
    <r>
      <rPr>
        <sz val="8"/>
        <rFont val="Arial"/>
        <family val="2"/>
      </rPr>
      <t>Additional 50% discounts for new dwellings</t>
    </r>
  </si>
  <si>
    <r>
      <t xml:space="preserve">11. </t>
    </r>
    <r>
      <rPr>
        <sz val="8"/>
        <rFont val="Arial"/>
        <family val="2"/>
      </rPr>
      <t>Dwellings subject to Long Term Premium</t>
    </r>
  </si>
  <si>
    <r>
      <t>12</t>
    </r>
    <r>
      <rPr>
        <sz val="8"/>
        <rFont val="Arial"/>
        <family val="2"/>
      </rPr>
      <t>. Number of dwellings in line 6 assumed to be entitled to no discounts / premium (lines 6-7-8-9-10-11)</t>
    </r>
  </si>
  <si>
    <r>
      <t>13</t>
    </r>
    <r>
      <rPr>
        <sz val="8"/>
        <rFont val="Arial"/>
        <family val="2"/>
      </rPr>
      <t>. Total equivalent number of dwellings after discounts, exemptions and disabled relief [(line 7 x 0.75) +(line 8 x 0.75)+ (lines 9 and 10 x 0.5) + (line 11 x 1.5) + line 12</t>
    </r>
  </si>
  <si>
    <r>
      <t>15</t>
    </r>
    <r>
      <rPr>
        <sz val="8"/>
        <rFont val="Arial"/>
        <family val="2"/>
      </rPr>
      <t>. Number of band D equivalents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(line 14 x line 15)</t>
    </r>
  </si>
  <si>
    <r>
      <t>16. Less numbers of d</t>
    </r>
    <r>
      <rPr>
        <sz val="8"/>
        <rFont val="Arial"/>
        <family val="2"/>
      </rPr>
      <t>wellings eligible for Council Tax Suppor</t>
    </r>
    <r>
      <rPr>
        <b/>
        <sz val="8"/>
        <rFont val="Arial"/>
        <family val="2"/>
      </rPr>
      <t>t</t>
    </r>
  </si>
  <si>
    <r>
      <t>18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Tax Base for Oxford City Council Billing Authority (line 15  - line 16 + line 17)</t>
    </r>
  </si>
  <si>
    <t>Castle Mill</t>
  </si>
  <si>
    <t xml:space="preserve">AS AT 30.11.14 </t>
  </si>
  <si>
    <t>AS AT 22.11.14</t>
  </si>
  <si>
    <t>AS at 30/11</t>
  </si>
  <si>
    <t>Notes</t>
  </si>
  <si>
    <t>Line 3 - Dwellings eligible for Council Tax Support - this data comes from the Academy Council Tax system as at November 30th 2014</t>
  </si>
  <si>
    <t>Line 8 - Recently built or uninhabitable dwellings - this data comes from the Academy Council Tax system as at November 30th 2014</t>
  </si>
  <si>
    <t>Line 11 - Additional 50% discounts for new dwellings - the estimated number of building completions in 2015-16 comes from Planning applications</t>
  </si>
  <si>
    <t>Line 12 - Dwellings subject to Long Term Empty Premium - this data comes from the Academy Council Tax system as at November 30th 2014</t>
  </si>
  <si>
    <t>3. Number of dwellings eligible for Council Tax Support</t>
  </si>
  <si>
    <t>8. Est. of number of dwellings in line 7 entitled to a 25% discount (recently built or uninhabitable dwellings)</t>
  </si>
  <si>
    <t>1a. Estimated new dwellings for Dec 1st - Mar 31</t>
  </si>
  <si>
    <t>1b. Estimated new dwellings 2015-16</t>
  </si>
  <si>
    <t>4. No.of chargeable dwellings for 2015/16(lines 1+1a+1b -2-3)</t>
  </si>
  <si>
    <t>6. Number of dwellings effectively subject to council tax for this band by virtue of disabled relief (line 5 after reduction)</t>
  </si>
  <si>
    <t>7. Number of chargeable dwellings adjusted in accordance with lines 5 and 6 (lines 4-5+6)</t>
  </si>
  <si>
    <t>11 Additional 50% discounts for new dwellings</t>
  </si>
  <si>
    <t>13. Number of dwellings in line 7 assumed to be entitled to no discounts / premium (lines 7-8-9-10-11-12)</t>
  </si>
  <si>
    <t>14. Total equivalent number of dwellings after discounts, exemptions and disabled relief [(line 8 x 0.75) +(line 9 x 0.75)+ (lines 10 and 11 x 0.5) + (line 12 x 1.5) + line 13</t>
  </si>
  <si>
    <t>15. Ratio to band D</t>
  </si>
  <si>
    <t>17. Number of band D equivalents of contributions in lieu (in respect of exempt dwellings) in 2015/16</t>
  </si>
  <si>
    <t>18. Tax Base for Oxford City Council Billing Authority (line 16 + line 17)</t>
  </si>
  <si>
    <t>19. At projected collection rate of 97.5%</t>
  </si>
  <si>
    <r>
      <t>16. Number of band D equivalents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(line 14 x line 15)</t>
    </r>
  </si>
  <si>
    <t>12. Dwellings subject to Long Term Empty Premium</t>
  </si>
  <si>
    <t xml:space="preserve">Line 2 - Exempt Dwellings - Data comes from the Academy Council Tax system and includes empty and unfurnished dwellings with 100% discount (one month only)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</si>
</sst>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8" fillId="2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9" fillId="0" borderId="0" xfId="0" applyFont="1"/>
    <xf numFmtId="3" fontId="10" fillId="0" borderId="0" xfId="0" applyNumberFormat="1" applyFont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9" fontId="9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/>
    <xf numFmtId="0" fontId="4" fillId="0" borderId="6" xfId="0" applyFont="1" applyBorder="1"/>
    <xf numFmtId="0" fontId="1" fillId="0" borderId="7" xfId="0" applyFont="1" applyFill="1" applyBorder="1" applyAlignment="1">
      <alignment horizontal="center"/>
    </xf>
    <xf numFmtId="0" fontId="9" fillId="0" borderId="7" xfId="0" applyFont="1" applyFill="1" applyBorder="1"/>
    <xf numFmtId="3" fontId="0" fillId="0" borderId="0" xfId="0" applyNumberForma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164" fontId="0" fillId="0" borderId="0" xfId="0" applyNumberFormat="1"/>
    <xf numFmtId="164" fontId="1" fillId="0" borderId="8" xfId="0" applyNumberFormat="1" applyFont="1" applyFill="1" applyBorder="1" applyAlignment="1">
      <alignment horizontal="center"/>
    </xf>
    <xf numFmtId="16" fontId="0" fillId="0" borderId="0" xfId="0" applyNumberFormat="1"/>
    <xf numFmtId="165" fontId="0" fillId="0" borderId="0" xfId="0" applyNumberFormat="1"/>
    <xf numFmtId="0" fontId="8" fillId="2" borderId="0" xfId="0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3" fontId="11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left"/>
    </xf>
    <xf numFmtId="166" fontId="1" fillId="0" borderId="7" xfId="0" applyNumberFormat="1" applyFont="1" applyFill="1" applyBorder="1" applyAlignment="1">
      <alignment horizontal="center"/>
    </xf>
    <xf numFmtId="166" fontId="9" fillId="0" borderId="7" xfId="0" applyNumberFormat="1" applyFont="1" applyFill="1" applyBorder="1"/>
    <xf numFmtId="3" fontId="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14" fillId="0" borderId="0" xfId="0" applyFont="1"/>
    <xf numFmtId="166" fontId="0" fillId="0" borderId="0" xfId="0" applyNumberFormat="1"/>
    <xf numFmtId="4" fontId="9" fillId="0" borderId="0" xfId="0" applyNumberFormat="1" applyFont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16" fontId="6" fillId="0" borderId="0" xfId="0" applyNumberFormat="1" applyFont="1" applyFill="1" applyBorder="1" applyAlignment="1">
      <alignment horizontal="right"/>
    </xf>
    <xf numFmtId="164" fontId="0" fillId="0" borderId="0" xfId="0" applyNumberFormat="1" applyAlignment="1"/>
    <xf numFmtId="164" fontId="9" fillId="0" borderId="0" xfId="0" applyNumberFormat="1" applyFont="1" applyBorder="1" applyAlignment="1"/>
    <xf numFmtId="164" fontId="2" fillId="0" borderId="5" xfId="0" applyNumberFormat="1" applyFont="1" applyBorder="1" applyAlignment="1">
      <alignment horizontal="right"/>
    </xf>
    <xf numFmtId="164" fontId="0" fillId="0" borderId="0" xfId="0" applyNumberFormat="1" applyBorder="1" applyAlignment="1"/>
    <xf numFmtId="164" fontId="9" fillId="0" borderId="0" xfId="0" applyNumberFormat="1" applyFont="1" applyAlignment="1"/>
    <xf numFmtId="164" fontId="8" fillId="0" borderId="0" xfId="0" applyNumberFormat="1" applyFont="1" applyFill="1" applyBorder="1" applyAlignment="1"/>
    <xf numFmtId="164" fontId="8" fillId="2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64" fontId="7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0" fontId="15" fillId="0" borderId="0" xfId="0" applyFont="1"/>
    <xf numFmtId="0" fontId="4" fillId="0" borderId="0" xfId="0" applyFont="1"/>
    <xf numFmtId="0" fontId="4" fillId="0" borderId="4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C14" sqref="C14:J14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9.28515625" customWidth="1"/>
    <col min="11" max="11" width="9.85546875" customWidth="1"/>
    <col min="12" max="12" width="9.28515625" bestFit="1" customWidth="1"/>
  </cols>
  <sheetData>
    <row r="1" spans="1:21" ht="14.45" customHeight="1" x14ac:dyDescent="0.25">
      <c r="A1" s="1" t="s">
        <v>33</v>
      </c>
      <c r="D1" s="2" t="s">
        <v>32</v>
      </c>
      <c r="L1" s="3"/>
    </row>
    <row r="2" spans="1:21" ht="16.149999999999999" customHeight="1" thickBot="1" x14ac:dyDescent="0.3">
      <c r="C2" s="1" t="s">
        <v>55</v>
      </c>
    </row>
    <row r="3" spans="1:21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1" ht="13.15" customHeight="1" x14ac:dyDescent="0.2">
      <c r="A4" s="8" t="s">
        <v>34</v>
      </c>
      <c r="B4" s="9"/>
      <c r="C4" s="10">
        <v>257</v>
      </c>
      <c r="D4" s="10">
        <v>415</v>
      </c>
      <c r="E4" s="10">
        <v>1405</v>
      </c>
      <c r="F4" s="10">
        <v>260</v>
      </c>
      <c r="G4" s="10">
        <v>133</v>
      </c>
      <c r="H4" s="10">
        <v>56</v>
      </c>
      <c r="I4" s="10">
        <v>8</v>
      </c>
      <c r="J4" s="10">
        <v>1</v>
      </c>
      <c r="K4" s="11">
        <f>SUM(C4:J4)</f>
        <v>2535</v>
      </c>
      <c r="L4" s="12"/>
      <c r="M4" s="12" t="s">
        <v>43</v>
      </c>
      <c r="N4" s="43">
        <v>41951</v>
      </c>
    </row>
    <row r="5" spans="1:21" ht="12" customHeight="1" x14ac:dyDescent="0.2">
      <c r="A5" s="8" t="s">
        <v>42</v>
      </c>
      <c r="B5" s="9"/>
      <c r="C5" s="10">
        <f>1+0</f>
        <v>1</v>
      </c>
      <c r="D5" s="10">
        <f>12+1</f>
        <v>13</v>
      </c>
      <c r="E5" s="10">
        <f>15+3</f>
        <v>18</v>
      </c>
      <c r="F5" s="10">
        <f>6+0</f>
        <v>6</v>
      </c>
      <c r="G5" s="10">
        <f>2+0</f>
        <v>2</v>
      </c>
      <c r="H5" s="10">
        <f>1+0</f>
        <v>1</v>
      </c>
      <c r="I5" s="10">
        <f>0+0</f>
        <v>0</v>
      </c>
      <c r="J5" s="10">
        <f>0+0</f>
        <v>0</v>
      </c>
      <c r="K5" s="11">
        <f>SUM(C5:J5)</f>
        <v>41</v>
      </c>
      <c r="L5" s="12"/>
      <c r="M5" s="12" t="s">
        <v>44</v>
      </c>
      <c r="N5" s="12" t="s">
        <v>43</v>
      </c>
      <c r="O5" s="43">
        <v>41951</v>
      </c>
      <c r="P5" s="12" t="s">
        <v>12</v>
      </c>
      <c r="Q5" s="15" t="s">
        <v>45</v>
      </c>
      <c r="R5" s="15" t="s">
        <v>46</v>
      </c>
      <c r="S5" s="43">
        <v>41951</v>
      </c>
      <c r="T5">
        <v>37</v>
      </c>
      <c r="U5">
        <v>4</v>
      </c>
    </row>
    <row r="6" spans="1:21" ht="12" customHeight="1" x14ac:dyDescent="0.2">
      <c r="A6" s="8" t="s">
        <v>13</v>
      </c>
      <c r="B6" s="9"/>
      <c r="C6" s="13">
        <v>92.66</v>
      </c>
      <c r="D6" s="13">
        <v>118.56</v>
      </c>
      <c r="E6" s="13">
        <v>171.73</v>
      </c>
      <c r="F6" s="13">
        <v>18.59</v>
      </c>
      <c r="G6" s="13">
        <v>8.6199999999999992</v>
      </c>
      <c r="H6" s="13">
        <v>0</v>
      </c>
      <c r="I6" s="13">
        <v>0</v>
      </c>
      <c r="J6" s="13">
        <v>0</v>
      </c>
      <c r="K6" s="11">
        <f>SUM(C6:J6)</f>
        <v>410.15999999999997</v>
      </c>
      <c r="L6" s="12"/>
      <c r="M6" s="12" t="s">
        <v>43</v>
      </c>
      <c r="N6" s="43">
        <v>41951</v>
      </c>
    </row>
    <row r="7" spans="1:21" ht="24.75" customHeight="1" x14ac:dyDescent="0.2">
      <c r="A7" s="8" t="s">
        <v>14</v>
      </c>
      <c r="B7" s="9"/>
      <c r="C7" s="14">
        <f t="shared" ref="C7:K7" si="0">C4-C5-C6</f>
        <v>163.34</v>
      </c>
      <c r="D7" s="14">
        <f t="shared" si="0"/>
        <v>283.44</v>
      </c>
      <c r="E7" s="14">
        <f t="shared" si="0"/>
        <v>1215.27</v>
      </c>
      <c r="F7" s="14">
        <f t="shared" si="0"/>
        <v>235.41</v>
      </c>
      <c r="G7" s="14">
        <f t="shared" si="0"/>
        <v>122.38</v>
      </c>
      <c r="H7" s="14">
        <f t="shared" si="0"/>
        <v>55</v>
      </c>
      <c r="I7" s="14">
        <f t="shared" si="0"/>
        <v>8</v>
      </c>
      <c r="J7" s="14">
        <f t="shared" si="0"/>
        <v>1</v>
      </c>
      <c r="K7" s="11">
        <f t="shared" si="0"/>
        <v>2083.84</v>
      </c>
      <c r="L7" s="15"/>
    </row>
    <row r="8" spans="1:21" ht="22.9" customHeight="1" x14ac:dyDescent="0.2">
      <c r="A8" s="8" t="s">
        <v>37</v>
      </c>
      <c r="B8" s="9"/>
      <c r="C8" s="14">
        <v>1</v>
      </c>
      <c r="D8" s="14">
        <v>0</v>
      </c>
      <c r="E8" s="14">
        <v>11</v>
      </c>
      <c r="F8" s="14">
        <v>1</v>
      </c>
      <c r="G8" s="14">
        <v>0</v>
      </c>
      <c r="H8" s="14">
        <v>1</v>
      </c>
      <c r="I8" s="14">
        <v>0</v>
      </c>
      <c r="J8" s="14">
        <v>1</v>
      </c>
      <c r="K8" s="11">
        <f>SUM(C8:J8)</f>
        <v>15</v>
      </c>
      <c r="L8" s="15"/>
      <c r="M8" s="12" t="s">
        <v>43</v>
      </c>
      <c r="N8" s="43">
        <v>41951</v>
      </c>
    </row>
    <row r="9" spans="1:21" ht="23.45" customHeight="1" x14ac:dyDescent="0.2">
      <c r="A9" s="8" t="s">
        <v>15</v>
      </c>
      <c r="B9" s="16">
        <f t="shared" ref="B9:I9" si="1">C8</f>
        <v>1</v>
      </c>
      <c r="C9" s="16">
        <f t="shared" si="1"/>
        <v>0</v>
      </c>
      <c r="D9" s="16">
        <f t="shared" si="1"/>
        <v>11</v>
      </c>
      <c r="E9" s="16">
        <f t="shared" si="1"/>
        <v>1</v>
      </c>
      <c r="F9" s="16">
        <f t="shared" si="1"/>
        <v>0</v>
      </c>
      <c r="G9" s="16">
        <f t="shared" si="1"/>
        <v>1</v>
      </c>
      <c r="H9" s="16">
        <f t="shared" si="1"/>
        <v>0</v>
      </c>
      <c r="I9" s="16">
        <f t="shared" si="1"/>
        <v>1</v>
      </c>
      <c r="J9" s="9"/>
      <c r="K9" s="17">
        <f>SUM(B9:I9)</f>
        <v>15</v>
      </c>
      <c r="L9" s="15"/>
      <c r="M9" s="12" t="s">
        <v>43</v>
      </c>
      <c r="N9" s="43">
        <v>41951</v>
      </c>
    </row>
    <row r="10" spans="1:21" ht="25.15" customHeight="1" x14ac:dyDescent="0.2">
      <c r="A10" s="8" t="s">
        <v>16</v>
      </c>
      <c r="B10" s="18">
        <f t="shared" ref="B10:K10" si="2">SUM(B7-B8+B9)</f>
        <v>1</v>
      </c>
      <c r="C10" s="18">
        <f t="shared" si="2"/>
        <v>162.34</v>
      </c>
      <c r="D10" s="18">
        <f t="shared" si="2"/>
        <v>294.44</v>
      </c>
      <c r="E10" s="18">
        <f t="shared" si="2"/>
        <v>1205.27</v>
      </c>
      <c r="F10" s="18">
        <f t="shared" si="2"/>
        <v>234.41</v>
      </c>
      <c r="G10" s="18">
        <f t="shared" si="2"/>
        <v>123.38</v>
      </c>
      <c r="H10" s="18">
        <f t="shared" si="2"/>
        <v>54</v>
      </c>
      <c r="I10" s="18">
        <f t="shared" si="2"/>
        <v>9</v>
      </c>
      <c r="J10" s="18">
        <f t="shared" si="2"/>
        <v>0</v>
      </c>
      <c r="K10" s="19">
        <f t="shared" si="2"/>
        <v>2083.84</v>
      </c>
      <c r="L10" s="15"/>
    </row>
    <row r="11" spans="1:21" s="12" customFormat="1" ht="22.15" customHeight="1" x14ac:dyDescent="0.2">
      <c r="A11" s="8" t="s">
        <v>17</v>
      </c>
      <c r="B11" s="14">
        <v>0</v>
      </c>
      <c r="C11" s="20">
        <v>0</v>
      </c>
      <c r="D11" s="20">
        <v>1</v>
      </c>
      <c r="E11" s="20">
        <v>2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19">
        <f>SUM(B11:J11)</f>
        <v>4</v>
      </c>
      <c r="L11" s="15"/>
      <c r="M11" s="12" t="s">
        <v>47</v>
      </c>
      <c r="O11" s="12" t="s">
        <v>48</v>
      </c>
    </row>
    <row r="12" spans="1:21" ht="22.15" customHeight="1" x14ac:dyDescent="0.2">
      <c r="A12" s="8" t="s">
        <v>41</v>
      </c>
      <c r="B12" s="14">
        <f>0+0</f>
        <v>0</v>
      </c>
      <c r="C12" s="14">
        <f>130+2</f>
        <v>132</v>
      </c>
      <c r="D12" s="14">
        <f>228+3</f>
        <v>231</v>
      </c>
      <c r="E12" s="14">
        <f>380+11</f>
        <v>391</v>
      </c>
      <c r="F12" s="14">
        <f>62+3</f>
        <v>65</v>
      </c>
      <c r="G12" s="14">
        <f>31+1</f>
        <v>32</v>
      </c>
      <c r="H12" s="14">
        <f>9+0</f>
        <v>9</v>
      </c>
      <c r="I12" s="14">
        <f>1+1</f>
        <v>2</v>
      </c>
      <c r="J12" s="14">
        <f>0+0</f>
        <v>0</v>
      </c>
      <c r="K12" s="19">
        <f>SUM(B12:J12)</f>
        <v>862</v>
      </c>
      <c r="L12" s="15"/>
      <c r="M12" s="12" t="s">
        <v>43</v>
      </c>
      <c r="N12" s="43">
        <v>41951</v>
      </c>
    </row>
    <row r="13" spans="1:21" s="12" customFormat="1" ht="22.9" customHeight="1" x14ac:dyDescent="0.2">
      <c r="A13" s="8" t="s">
        <v>38</v>
      </c>
      <c r="B13" s="21">
        <v>0</v>
      </c>
      <c r="C13" s="21">
        <f>C29</f>
        <v>0</v>
      </c>
      <c r="D13" s="21">
        <f t="shared" ref="D13:J13" si="3">D29</f>
        <v>3</v>
      </c>
      <c r="E13" s="21">
        <f t="shared" si="3"/>
        <v>15</v>
      </c>
      <c r="F13" s="21">
        <f t="shared" si="3"/>
        <v>0</v>
      </c>
      <c r="G13" s="21">
        <f t="shared" si="3"/>
        <v>0</v>
      </c>
      <c r="H13" s="21">
        <f t="shared" si="3"/>
        <v>1</v>
      </c>
      <c r="I13" s="21">
        <f t="shared" si="3"/>
        <v>1</v>
      </c>
      <c r="J13" s="21">
        <f t="shared" si="3"/>
        <v>0</v>
      </c>
      <c r="K13" s="22">
        <f>SUM(B13:J13)</f>
        <v>20</v>
      </c>
      <c r="L13" s="23"/>
      <c r="M13" s="12" t="s">
        <v>50</v>
      </c>
    </row>
    <row r="14" spans="1:21" ht="21" customHeight="1" x14ac:dyDescent="0.2">
      <c r="A14" s="8" t="s">
        <v>39</v>
      </c>
      <c r="B14" s="21">
        <v>0</v>
      </c>
      <c r="C14" s="21">
        <v>2</v>
      </c>
      <c r="D14" s="21">
        <v>1</v>
      </c>
      <c r="E14" s="21">
        <v>3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f>SUM(B14:J14)</f>
        <v>6</v>
      </c>
      <c r="L14" s="15"/>
      <c r="M14" s="12" t="s">
        <v>49</v>
      </c>
      <c r="O14" s="12" t="s">
        <v>48</v>
      </c>
      <c r="P14" s="12"/>
    </row>
    <row r="15" spans="1:21" ht="22.9" customHeight="1" x14ac:dyDescent="0.2">
      <c r="A15" s="8" t="s">
        <v>18</v>
      </c>
      <c r="B15" s="14">
        <f t="shared" ref="B15:K15" si="4">SUM(B10-B11-B12-B13-B14)</f>
        <v>1</v>
      </c>
      <c r="C15" s="14">
        <f t="shared" si="4"/>
        <v>28.340000000000003</v>
      </c>
      <c r="D15" s="14">
        <f t="shared" si="4"/>
        <v>58.44</v>
      </c>
      <c r="E15" s="14">
        <f t="shared" si="4"/>
        <v>794.27</v>
      </c>
      <c r="F15" s="14">
        <f t="shared" si="4"/>
        <v>169.41</v>
      </c>
      <c r="G15" s="14">
        <f t="shared" si="4"/>
        <v>90.38</v>
      </c>
      <c r="H15" s="14">
        <f t="shared" si="4"/>
        <v>44</v>
      </c>
      <c r="I15" s="14">
        <f t="shared" si="4"/>
        <v>6</v>
      </c>
      <c r="J15" s="14">
        <f t="shared" si="4"/>
        <v>0</v>
      </c>
      <c r="K15" s="11">
        <f t="shared" si="4"/>
        <v>1191.8400000000001</v>
      </c>
    </row>
    <row r="16" spans="1:21" ht="34.9" customHeight="1" x14ac:dyDescent="0.2">
      <c r="A16" s="8" t="s">
        <v>19</v>
      </c>
      <c r="B16" s="24">
        <f>SUM((B11*0.75)+(B12*0.75)+(B13*0.5)+(B14*0.5)+B15)</f>
        <v>1</v>
      </c>
      <c r="C16" s="24">
        <f t="shared" ref="C16:J16" si="5">SUM((C11*0.75)+(C12*0.75)+(C13*0.5)+(C14*1.5)+C15)</f>
        <v>130.34</v>
      </c>
      <c r="D16" s="24">
        <f t="shared" si="5"/>
        <v>235.44</v>
      </c>
      <c r="E16" s="24">
        <f t="shared" si="5"/>
        <v>1101.02</v>
      </c>
      <c r="F16" s="24">
        <f t="shared" si="5"/>
        <v>218.16</v>
      </c>
      <c r="G16" s="24">
        <f t="shared" si="5"/>
        <v>115.13</v>
      </c>
      <c r="H16" s="24">
        <f t="shared" si="5"/>
        <v>51.25</v>
      </c>
      <c r="I16" s="24">
        <f t="shared" si="5"/>
        <v>8</v>
      </c>
      <c r="J16" s="24">
        <f t="shared" si="5"/>
        <v>0</v>
      </c>
      <c r="K16" s="25">
        <f>SUM(B16:J16)</f>
        <v>1860.3400000000001</v>
      </c>
    </row>
    <row r="17" spans="1:15" ht="13.15" customHeight="1" x14ac:dyDescent="0.2">
      <c r="A17" s="8" t="s">
        <v>20</v>
      </c>
      <c r="B17" s="26" t="s">
        <v>21</v>
      </c>
      <c r="C17" s="26" t="s">
        <v>22</v>
      </c>
      <c r="D17" s="27" t="s">
        <v>23</v>
      </c>
      <c r="E17" s="27" t="s">
        <v>24</v>
      </c>
      <c r="F17" s="27">
        <v>1</v>
      </c>
      <c r="G17" s="27" t="s">
        <v>25</v>
      </c>
      <c r="H17" s="27" t="s">
        <v>26</v>
      </c>
      <c r="I17" s="27" t="s">
        <v>27</v>
      </c>
      <c r="J17" s="27" t="s">
        <v>28</v>
      </c>
      <c r="K17" s="17"/>
    </row>
    <row r="18" spans="1:15" ht="3.6" hidden="1" customHeight="1" x14ac:dyDescent="0.2">
      <c r="A18" s="8"/>
      <c r="B18" s="26"/>
      <c r="C18" s="26"/>
      <c r="D18" s="27"/>
      <c r="E18" s="27"/>
      <c r="F18" s="27"/>
      <c r="G18" s="27"/>
      <c r="H18" s="27"/>
      <c r="I18" s="27"/>
      <c r="J18" s="27"/>
      <c r="K18" s="17"/>
    </row>
    <row r="19" spans="1:15" ht="17.45" customHeight="1" x14ac:dyDescent="0.25">
      <c r="A19" s="8" t="s">
        <v>29</v>
      </c>
      <c r="B19" s="28">
        <f>ROUND(B16/9*5,2)</f>
        <v>0.56000000000000005</v>
      </c>
      <c r="C19" s="28">
        <f>ROUND(C16/9*6,2)</f>
        <v>86.89</v>
      </c>
      <c r="D19" s="28">
        <f>ROUND(D16/9*7,2)</f>
        <v>183.12</v>
      </c>
      <c r="E19" s="28">
        <f>ROUND(E16/9*8,2)</f>
        <v>978.68</v>
      </c>
      <c r="F19" s="28">
        <f>ROUND(F16*F17,2)</f>
        <v>218.16</v>
      </c>
      <c r="G19" s="28">
        <f>ROUND(G16/9*11,2)</f>
        <v>140.71</v>
      </c>
      <c r="H19" s="28">
        <f>ROUND(H16/9*13,2)</f>
        <v>74.03</v>
      </c>
      <c r="I19" s="28">
        <f>ROUND(I16/9*15,2)</f>
        <v>13.33</v>
      </c>
      <c r="J19" s="28">
        <f>ROUND(J16/9*18,2)</f>
        <v>0</v>
      </c>
      <c r="K19" s="29">
        <f>SUM(B19:J19)</f>
        <v>1695.48</v>
      </c>
    </row>
    <row r="20" spans="1:15" ht="25.15" customHeight="1" x14ac:dyDescent="0.25">
      <c r="A20" s="8" t="s">
        <v>40</v>
      </c>
      <c r="B20" s="30"/>
      <c r="C20" s="31"/>
      <c r="D20" s="16"/>
      <c r="E20" s="16"/>
      <c r="F20" s="16"/>
      <c r="G20" s="16"/>
      <c r="H20" s="16"/>
      <c r="I20" s="16"/>
      <c r="J20" s="16"/>
      <c r="K20" s="25">
        <v>0</v>
      </c>
      <c r="L20" s="32"/>
    </row>
    <row r="21" spans="1:15" ht="24.6" customHeight="1" x14ac:dyDescent="0.25">
      <c r="A21" s="8" t="s">
        <v>30</v>
      </c>
      <c r="B21" s="30"/>
      <c r="C21" s="31"/>
      <c r="D21" s="16"/>
      <c r="E21" s="16"/>
      <c r="F21" s="16"/>
      <c r="G21" s="16"/>
      <c r="H21" s="16"/>
      <c r="I21" s="16"/>
      <c r="J21" s="16"/>
      <c r="K21" s="29">
        <f>K19</f>
        <v>1695.48</v>
      </c>
      <c r="M21" s="33"/>
    </row>
    <row r="22" spans="1:15" ht="15.6" customHeight="1" thickBot="1" x14ac:dyDescent="0.3">
      <c r="A22" s="34" t="s">
        <v>52</v>
      </c>
      <c r="B22" s="35"/>
      <c r="C22" s="36"/>
      <c r="D22" s="36"/>
      <c r="E22" s="36"/>
      <c r="F22" s="36"/>
      <c r="G22" s="36"/>
      <c r="H22" s="36"/>
      <c r="I22" s="36"/>
      <c r="J22" s="36"/>
      <c r="K22" s="42">
        <f>SUM(K21/100*97.5)</f>
        <v>1653.0929999999998</v>
      </c>
      <c r="M22" s="33"/>
    </row>
    <row r="23" spans="1:15" x14ac:dyDescent="0.2">
      <c r="F23" s="32"/>
      <c r="G23" s="37"/>
      <c r="H23" s="33"/>
      <c r="J23" s="33"/>
      <c r="K23" s="37"/>
      <c r="N23" s="12"/>
    </row>
    <row r="24" spans="1:15" x14ac:dyDescent="0.2">
      <c r="A24" s="40" t="s">
        <v>35</v>
      </c>
      <c r="F24" s="32"/>
      <c r="G24" s="37"/>
      <c r="H24" s="33"/>
      <c r="J24" s="33" t="s">
        <v>36</v>
      </c>
      <c r="K24" s="41">
        <v>1625</v>
      </c>
      <c r="L24" s="33">
        <f>SUM((K22-K24)/K24)</f>
        <v>1.7287999999999908E-2</v>
      </c>
      <c r="O24" s="12"/>
    </row>
    <row r="27" spans="1:15" x14ac:dyDescent="0.2">
      <c r="A27" s="12" t="s">
        <v>51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t="s">
        <v>11</v>
      </c>
      <c r="M27" s="12" t="s">
        <v>46</v>
      </c>
      <c r="N27" s="43">
        <v>41951</v>
      </c>
    </row>
    <row r="28" spans="1:15" x14ac:dyDescent="0.2">
      <c r="A28" t="s">
        <v>31</v>
      </c>
      <c r="C28" s="39">
        <v>0</v>
      </c>
      <c r="D28" s="39">
        <v>3</v>
      </c>
      <c r="E28" s="39">
        <v>15</v>
      </c>
      <c r="F28" s="39">
        <v>0</v>
      </c>
      <c r="G28" s="39">
        <v>0</v>
      </c>
      <c r="H28" s="39">
        <v>1</v>
      </c>
      <c r="I28" s="39">
        <v>1</v>
      </c>
      <c r="J28" s="39">
        <v>0</v>
      </c>
      <c r="K28" s="39">
        <f>SUM(C28:J28)</f>
        <v>20</v>
      </c>
      <c r="L28" t="s">
        <v>11</v>
      </c>
      <c r="M28" s="12" t="s">
        <v>43</v>
      </c>
      <c r="N28" s="43">
        <v>41951</v>
      </c>
    </row>
    <row r="29" spans="1:15" x14ac:dyDescent="0.2">
      <c r="C29" s="38">
        <f>C27+C28</f>
        <v>0</v>
      </c>
      <c r="D29" s="38">
        <f t="shared" ref="D29:K29" si="6">D27+D28</f>
        <v>3</v>
      </c>
      <c r="E29" s="38">
        <f t="shared" si="6"/>
        <v>15</v>
      </c>
      <c r="F29" s="38">
        <f t="shared" si="6"/>
        <v>0</v>
      </c>
      <c r="G29" s="38">
        <f t="shared" si="6"/>
        <v>0</v>
      </c>
      <c r="H29" s="38">
        <f t="shared" si="6"/>
        <v>1</v>
      </c>
      <c r="I29" s="38">
        <f t="shared" si="6"/>
        <v>1</v>
      </c>
      <c r="J29" s="38">
        <f t="shared" si="6"/>
        <v>0</v>
      </c>
      <c r="K29" s="38">
        <f t="shared" si="6"/>
        <v>20</v>
      </c>
    </row>
    <row r="30" spans="1:15" x14ac:dyDescent="0.2">
      <c r="C30" s="38"/>
      <c r="D30" s="38"/>
      <c r="E30" s="38"/>
      <c r="F30" s="38"/>
      <c r="G30" s="38"/>
      <c r="H30" s="38"/>
      <c r="I30" s="38"/>
      <c r="J30" s="38"/>
      <c r="K30" s="38"/>
    </row>
    <row r="31" spans="1:15" x14ac:dyDescent="0.2"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opLeftCell="F127" zoomScaleNormal="100" workbookViewId="0">
      <selection activeCell="N8" sqref="N8:U8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7.85546875" customWidth="1"/>
    <col min="11" max="11" width="9.85546875" customWidth="1"/>
    <col min="12" max="12" width="9.28515625" bestFit="1" customWidth="1"/>
    <col min="13" max="13" width="10.28515625" bestFit="1" customWidth="1"/>
  </cols>
  <sheetData>
    <row r="1" spans="1:22" ht="14.45" customHeight="1" x14ac:dyDescent="0.25">
      <c r="A1" s="1" t="s">
        <v>70</v>
      </c>
      <c r="D1" s="2" t="s">
        <v>32</v>
      </c>
    </row>
    <row r="2" spans="1:22" ht="16.149999999999999" customHeight="1" thickBot="1" x14ac:dyDescent="0.3">
      <c r="C2" s="1" t="s">
        <v>71</v>
      </c>
    </row>
    <row r="3" spans="1:22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2" ht="13.15" customHeight="1" x14ac:dyDescent="0.2">
      <c r="A4" s="8" t="s">
        <v>34</v>
      </c>
      <c r="B4" s="45"/>
      <c r="C4" s="10">
        <v>2399</v>
      </c>
      <c r="D4" s="10">
        <v>9137</v>
      </c>
      <c r="E4" s="10">
        <v>18793</v>
      </c>
      <c r="F4" s="10">
        <v>15710</v>
      </c>
      <c r="G4" s="10">
        <v>6848</v>
      </c>
      <c r="H4" s="10">
        <v>2794</v>
      </c>
      <c r="I4" s="10">
        <v>3215</v>
      </c>
      <c r="J4" s="10">
        <v>578</v>
      </c>
      <c r="K4" s="46">
        <f>SUM(B4:J4)</f>
        <v>59474</v>
      </c>
    </row>
    <row r="5" spans="1:22" ht="11.45" customHeight="1" x14ac:dyDescent="0.2">
      <c r="A5" s="8" t="s">
        <v>72</v>
      </c>
      <c r="B5" s="45"/>
      <c r="C5" s="47"/>
      <c r="D5" s="47"/>
      <c r="E5" s="47"/>
      <c r="F5" s="47"/>
      <c r="G5" s="47"/>
      <c r="H5" s="47"/>
      <c r="I5" s="47"/>
      <c r="J5" s="47"/>
      <c r="K5" s="48">
        <f>SUM(C5:J5)</f>
        <v>0</v>
      </c>
    </row>
    <row r="6" spans="1:22" ht="11.45" customHeight="1" x14ac:dyDescent="0.2">
      <c r="A6" s="8" t="s">
        <v>83</v>
      </c>
      <c r="B6" s="45"/>
      <c r="C6" s="49"/>
      <c r="D6" s="49"/>
      <c r="E6" s="49"/>
      <c r="F6" s="49"/>
      <c r="G6" s="49"/>
      <c r="H6" s="49"/>
      <c r="I6" s="49"/>
      <c r="J6" s="49"/>
      <c r="K6" s="50">
        <f>SUM(B6:J6)</f>
        <v>0</v>
      </c>
    </row>
    <row r="7" spans="1:22" ht="12" customHeight="1" x14ac:dyDescent="0.2">
      <c r="A7" s="8" t="s">
        <v>84</v>
      </c>
      <c r="B7" s="45"/>
      <c r="C7" s="10">
        <f>N10</f>
        <v>426</v>
      </c>
      <c r="D7" s="10">
        <f t="shared" ref="D7:J7" si="0">O10</f>
        <v>729</v>
      </c>
      <c r="E7" s="10">
        <f t="shared" si="0"/>
        <v>1163</v>
      </c>
      <c r="F7" s="10">
        <f t="shared" si="0"/>
        <v>1799</v>
      </c>
      <c r="G7" s="10">
        <f t="shared" si="0"/>
        <v>1030</v>
      </c>
      <c r="H7" s="10">
        <f t="shared" si="0"/>
        <v>241</v>
      </c>
      <c r="I7" s="10">
        <f t="shared" si="0"/>
        <v>237</v>
      </c>
      <c r="J7" s="10">
        <f t="shared" si="0"/>
        <v>206</v>
      </c>
      <c r="K7" s="46">
        <f>SUM(C7:J7)</f>
        <v>5831</v>
      </c>
      <c r="L7" s="12"/>
      <c r="M7" s="12" t="s">
        <v>44</v>
      </c>
      <c r="N7" s="12" t="s">
        <v>43</v>
      </c>
      <c r="O7" s="43">
        <v>41729</v>
      </c>
      <c r="P7" s="12" t="s">
        <v>12</v>
      </c>
      <c r="Q7" s="15" t="s">
        <v>45</v>
      </c>
      <c r="R7" s="15" t="s">
        <v>43</v>
      </c>
      <c r="S7" s="43">
        <v>41958</v>
      </c>
      <c r="T7">
        <v>5777</v>
      </c>
      <c r="U7">
        <v>54</v>
      </c>
    </row>
    <row r="8" spans="1:22" ht="12" customHeight="1" x14ac:dyDescent="0.2">
      <c r="A8" s="8" t="s">
        <v>13</v>
      </c>
      <c r="B8" s="45"/>
      <c r="C8" s="80">
        <v>557</v>
      </c>
      <c r="D8" s="80">
        <v>2347</v>
      </c>
      <c r="E8" s="80">
        <v>2878</v>
      </c>
      <c r="F8" s="80">
        <v>1001</v>
      </c>
      <c r="G8" s="80">
        <v>257</v>
      </c>
      <c r="H8" s="80">
        <v>27</v>
      </c>
      <c r="I8" s="80">
        <v>15</v>
      </c>
      <c r="J8" s="80">
        <v>1</v>
      </c>
      <c r="K8" s="46">
        <f>SUM(C8:J8)</f>
        <v>7083</v>
      </c>
      <c r="L8" s="12"/>
      <c r="N8">
        <v>424</v>
      </c>
      <c r="O8">
        <v>723</v>
      </c>
      <c r="P8">
        <v>1144</v>
      </c>
      <c r="Q8">
        <v>1781</v>
      </c>
      <c r="R8">
        <v>1026</v>
      </c>
      <c r="S8">
        <v>239</v>
      </c>
      <c r="T8">
        <v>234</v>
      </c>
      <c r="U8">
        <v>206</v>
      </c>
      <c r="V8">
        <f>SUM(N8:U8)</f>
        <v>5777</v>
      </c>
    </row>
    <row r="9" spans="1:22" ht="24.75" customHeight="1" x14ac:dyDescent="0.2">
      <c r="A9" s="8" t="s">
        <v>85</v>
      </c>
      <c r="B9" s="45"/>
      <c r="C9" s="14">
        <f>C4+C5+C6-C7-C8</f>
        <v>1416</v>
      </c>
      <c r="D9" s="14">
        <f t="shared" ref="D9:J9" si="1">D4+D5+D6-D7-D8</f>
        <v>6061</v>
      </c>
      <c r="E9" s="14">
        <f t="shared" si="1"/>
        <v>14752</v>
      </c>
      <c r="F9" s="14">
        <f t="shared" si="1"/>
        <v>12910</v>
      </c>
      <c r="G9" s="14">
        <f t="shared" si="1"/>
        <v>5561</v>
      </c>
      <c r="H9" s="14">
        <f t="shared" si="1"/>
        <v>2526</v>
      </c>
      <c r="I9" s="14">
        <f t="shared" si="1"/>
        <v>2963</v>
      </c>
      <c r="J9" s="14">
        <f t="shared" si="1"/>
        <v>371</v>
      </c>
      <c r="K9" s="46">
        <f>K4+K5+K6-K7-K8</f>
        <v>46560</v>
      </c>
      <c r="L9" s="12"/>
      <c r="N9" s="81">
        <v>2</v>
      </c>
      <c r="O9" s="81">
        <v>6</v>
      </c>
      <c r="P9" s="81">
        <v>19</v>
      </c>
      <c r="Q9" s="81">
        <v>18</v>
      </c>
      <c r="R9" s="81">
        <v>4</v>
      </c>
      <c r="S9" s="81">
        <v>2</v>
      </c>
      <c r="T9" s="81">
        <v>3</v>
      </c>
      <c r="U9" s="81">
        <v>0</v>
      </c>
      <c r="V9">
        <f>SUM(N9:U9)</f>
        <v>54</v>
      </c>
    </row>
    <row r="10" spans="1:22" ht="22.9" customHeight="1" x14ac:dyDescent="0.2">
      <c r="A10" s="8" t="s">
        <v>86</v>
      </c>
      <c r="B10" s="45"/>
      <c r="C10" s="14">
        <v>2</v>
      </c>
      <c r="D10" s="14">
        <v>20</v>
      </c>
      <c r="E10" s="14">
        <v>77</v>
      </c>
      <c r="F10" s="14">
        <v>69</v>
      </c>
      <c r="G10" s="14">
        <v>29</v>
      </c>
      <c r="H10" s="14">
        <v>13</v>
      </c>
      <c r="I10" s="14">
        <v>16</v>
      </c>
      <c r="J10" s="14">
        <v>8</v>
      </c>
      <c r="K10" s="50">
        <f>SUM(C10:J10)</f>
        <v>234</v>
      </c>
      <c r="N10">
        <f>N8+N9</f>
        <v>426</v>
      </c>
      <c r="O10">
        <f t="shared" ref="O10:U10" si="2">O8+O9</f>
        <v>729</v>
      </c>
      <c r="P10">
        <f t="shared" si="2"/>
        <v>1163</v>
      </c>
      <c r="Q10">
        <f t="shared" si="2"/>
        <v>1799</v>
      </c>
      <c r="R10">
        <f t="shared" si="2"/>
        <v>1030</v>
      </c>
      <c r="S10">
        <f t="shared" si="2"/>
        <v>241</v>
      </c>
      <c r="T10">
        <f t="shared" si="2"/>
        <v>237</v>
      </c>
      <c r="U10">
        <f t="shared" si="2"/>
        <v>206</v>
      </c>
    </row>
    <row r="11" spans="1:22" ht="23.45" customHeight="1" x14ac:dyDescent="0.2">
      <c r="A11" s="8" t="s">
        <v>15</v>
      </c>
      <c r="B11" s="16">
        <f t="shared" ref="B11:I11" si="3">C10</f>
        <v>2</v>
      </c>
      <c r="C11" s="16">
        <f t="shared" si="3"/>
        <v>20</v>
      </c>
      <c r="D11" s="16">
        <f t="shared" si="3"/>
        <v>77</v>
      </c>
      <c r="E11" s="16">
        <f t="shared" si="3"/>
        <v>69</v>
      </c>
      <c r="F11" s="16">
        <f t="shared" si="3"/>
        <v>29</v>
      </c>
      <c r="G11" s="16">
        <f t="shared" si="3"/>
        <v>13</v>
      </c>
      <c r="H11" s="16">
        <f t="shared" si="3"/>
        <v>16</v>
      </c>
      <c r="I11" s="16">
        <f t="shared" si="3"/>
        <v>8</v>
      </c>
      <c r="J11" s="45"/>
      <c r="K11" s="50">
        <f>SUM(B11:I11)</f>
        <v>234</v>
      </c>
    </row>
    <row r="12" spans="1:22" ht="25.15" customHeight="1" x14ac:dyDescent="0.2">
      <c r="A12" s="8" t="s">
        <v>16</v>
      </c>
      <c r="B12" s="18">
        <f t="shared" ref="B12:K12" si="4">SUM(B9-B10+B11)</f>
        <v>2</v>
      </c>
      <c r="C12" s="18">
        <f t="shared" si="4"/>
        <v>1434</v>
      </c>
      <c r="D12" s="18">
        <f t="shared" si="4"/>
        <v>6118</v>
      </c>
      <c r="E12" s="18">
        <f t="shared" si="4"/>
        <v>14744</v>
      </c>
      <c r="F12" s="18">
        <f t="shared" si="4"/>
        <v>12870</v>
      </c>
      <c r="G12" s="18">
        <f t="shared" si="4"/>
        <v>5545</v>
      </c>
      <c r="H12" s="18">
        <f t="shared" si="4"/>
        <v>2529</v>
      </c>
      <c r="I12" s="18">
        <f t="shared" si="4"/>
        <v>2955</v>
      </c>
      <c r="J12" s="18">
        <f t="shared" si="4"/>
        <v>363</v>
      </c>
      <c r="K12" s="52">
        <f t="shared" si="4"/>
        <v>46560</v>
      </c>
      <c r="L12" s="12"/>
    </row>
    <row r="13" spans="1:22" s="12" customFormat="1" ht="22.15" customHeight="1" x14ac:dyDescent="0.2">
      <c r="A13" s="8" t="s">
        <v>91</v>
      </c>
      <c r="B13" s="14">
        <v>0</v>
      </c>
      <c r="C13" s="20">
        <v>0</v>
      </c>
      <c r="D13" s="20">
        <v>5</v>
      </c>
      <c r="E13" s="20">
        <v>15</v>
      </c>
      <c r="F13" s="20">
        <v>29</v>
      </c>
      <c r="G13" s="20">
        <v>15</v>
      </c>
      <c r="H13" s="20">
        <v>7</v>
      </c>
      <c r="I13" s="20">
        <v>13</v>
      </c>
      <c r="J13" s="20">
        <v>2</v>
      </c>
      <c r="K13" s="52">
        <f>SUM(B13:J13)</f>
        <v>86</v>
      </c>
    </row>
    <row r="14" spans="1:22" ht="22.15" customHeight="1" x14ac:dyDescent="0.2">
      <c r="A14" s="8" t="s">
        <v>87</v>
      </c>
      <c r="B14" s="14">
        <v>0</v>
      </c>
      <c r="C14" s="14">
        <f>1269+18</f>
        <v>1287</v>
      </c>
      <c r="D14" s="14">
        <f>4512+142</f>
        <v>4654</v>
      </c>
      <c r="E14" s="14">
        <f>5389+391</f>
        <v>5780</v>
      </c>
      <c r="F14" s="14">
        <f>3710+436</f>
        <v>4146</v>
      </c>
      <c r="G14" s="14">
        <f>1415+184</f>
        <v>1599</v>
      </c>
      <c r="H14" s="14">
        <f>540+44</f>
        <v>584</v>
      </c>
      <c r="I14" s="14">
        <f>472+24</f>
        <v>496</v>
      </c>
      <c r="J14" s="14">
        <f>26+2</f>
        <v>28</v>
      </c>
      <c r="K14" s="52">
        <f>SUM(B14:J14)</f>
        <v>18574</v>
      </c>
      <c r="L14" s="12"/>
    </row>
    <row r="15" spans="1:22" s="12" customFormat="1" ht="22.9" customHeight="1" x14ac:dyDescent="0.2">
      <c r="A15" s="8" t="s">
        <v>88</v>
      </c>
      <c r="B15" s="21">
        <v>0</v>
      </c>
      <c r="C15" s="21">
        <f>N18</f>
        <v>2</v>
      </c>
      <c r="D15" s="21">
        <f t="shared" ref="D15:J15" si="5">O18</f>
        <v>14</v>
      </c>
      <c r="E15" s="21">
        <f t="shared" si="5"/>
        <v>38</v>
      </c>
      <c r="F15" s="21">
        <f t="shared" si="5"/>
        <v>31</v>
      </c>
      <c r="G15" s="21">
        <f t="shared" si="5"/>
        <v>19</v>
      </c>
      <c r="H15" s="21">
        <f t="shared" si="5"/>
        <v>15</v>
      </c>
      <c r="I15" s="21">
        <f t="shared" si="5"/>
        <v>30</v>
      </c>
      <c r="J15" s="21">
        <f t="shared" si="5"/>
        <v>16</v>
      </c>
      <c r="K15" s="53">
        <f>SUM(B15:J15)</f>
        <v>165</v>
      </c>
    </row>
    <row r="16" spans="1:22" ht="12.6" customHeight="1" x14ac:dyDescent="0.2">
      <c r="A16" s="8" t="s">
        <v>73</v>
      </c>
      <c r="B16" s="21">
        <v>0</v>
      </c>
      <c r="C16" s="21">
        <f t="shared" ref="C16:J16" si="6">C6</f>
        <v>0</v>
      </c>
      <c r="D16" s="21">
        <f t="shared" si="6"/>
        <v>0</v>
      </c>
      <c r="E16" s="21">
        <f t="shared" si="6"/>
        <v>0</v>
      </c>
      <c r="F16" s="21">
        <f t="shared" si="6"/>
        <v>0</v>
      </c>
      <c r="G16" s="21">
        <f t="shared" si="6"/>
        <v>0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53">
        <f>SUM(B16:J16)</f>
        <v>0</v>
      </c>
      <c r="M16" s="12" t="s">
        <v>93</v>
      </c>
      <c r="N16">
        <v>2</v>
      </c>
      <c r="O16">
        <v>8</v>
      </c>
      <c r="P16">
        <v>35</v>
      </c>
      <c r="Q16">
        <v>22</v>
      </c>
      <c r="R16">
        <v>15</v>
      </c>
      <c r="S16">
        <v>14</v>
      </c>
      <c r="T16">
        <v>27</v>
      </c>
      <c r="U16">
        <v>14</v>
      </c>
      <c r="V16">
        <f>SUM(N16:U16)</f>
        <v>137</v>
      </c>
    </row>
    <row r="17" spans="1:22" ht="12.6" customHeight="1" x14ac:dyDescent="0.2">
      <c r="A17" s="8" t="s">
        <v>74</v>
      </c>
      <c r="B17" s="14">
        <v>0</v>
      </c>
      <c r="C17" s="21">
        <v>5</v>
      </c>
      <c r="D17" s="21">
        <v>18</v>
      </c>
      <c r="E17" s="21">
        <v>18</v>
      </c>
      <c r="F17" s="21">
        <v>16</v>
      </c>
      <c r="G17" s="21">
        <v>9</v>
      </c>
      <c r="H17" s="21">
        <v>2</v>
      </c>
      <c r="I17" s="21">
        <v>5</v>
      </c>
      <c r="J17" s="21">
        <v>1</v>
      </c>
      <c r="K17" s="52">
        <f>SUM(B17:J17)</f>
        <v>74</v>
      </c>
      <c r="M17" s="12" t="s">
        <v>92</v>
      </c>
      <c r="N17" s="81">
        <v>0</v>
      </c>
      <c r="O17" s="81">
        <v>6</v>
      </c>
      <c r="P17" s="81">
        <v>3</v>
      </c>
      <c r="Q17" s="81">
        <v>9</v>
      </c>
      <c r="R17" s="81">
        <v>4</v>
      </c>
      <c r="S17" s="81">
        <v>1</v>
      </c>
      <c r="T17" s="81">
        <v>3</v>
      </c>
      <c r="U17" s="81">
        <v>2</v>
      </c>
      <c r="V17">
        <f>SUM(N17:U17)</f>
        <v>28</v>
      </c>
    </row>
    <row r="18" spans="1:22" ht="22.9" customHeight="1" x14ac:dyDescent="0.2">
      <c r="A18" s="8" t="s">
        <v>75</v>
      </c>
      <c r="B18" s="14">
        <f>SUM(B12-B13-B14-B15-B16-B17)</f>
        <v>2</v>
      </c>
      <c r="C18" s="14">
        <f t="shared" ref="C18:K18" si="7">SUM(C12-C13-C14-C15-C16-C17)</f>
        <v>140</v>
      </c>
      <c r="D18" s="14">
        <f t="shared" si="7"/>
        <v>1427</v>
      </c>
      <c r="E18" s="14">
        <f t="shared" si="7"/>
        <v>8893</v>
      </c>
      <c r="F18" s="14">
        <f t="shared" si="7"/>
        <v>8648</v>
      </c>
      <c r="G18" s="14">
        <f t="shared" si="7"/>
        <v>3903</v>
      </c>
      <c r="H18" s="14">
        <f t="shared" si="7"/>
        <v>1921</v>
      </c>
      <c r="I18" s="14">
        <f t="shared" si="7"/>
        <v>2411</v>
      </c>
      <c r="J18" s="14">
        <f t="shared" si="7"/>
        <v>316</v>
      </c>
      <c r="K18" s="52">
        <f t="shared" si="7"/>
        <v>27661</v>
      </c>
      <c r="L18" s="12"/>
      <c r="N18">
        <f>N16+N17</f>
        <v>2</v>
      </c>
      <c r="O18">
        <f t="shared" ref="O18:U18" si="8">O16+O17</f>
        <v>14</v>
      </c>
      <c r="P18">
        <f t="shared" si="8"/>
        <v>38</v>
      </c>
      <c r="Q18">
        <f t="shared" si="8"/>
        <v>31</v>
      </c>
      <c r="R18">
        <f t="shared" si="8"/>
        <v>19</v>
      </c>
      <c r="S18">
        <f t="shared" si="8"/>
        <v>15</v>
      </c>
      <c r="T18">
        <f t="shared" si="8"/>
        <v>30</v>
      </c>
      <c r="U18">
        <f t="shared" si="8"/>
        <v>16</v>
      </c>
    </row>
    <row r="19" spans="1:22" ht="34.9" customHeight="1" x14ac:dyDescent="0.2">
      <c r="A19" s="8" t="s">
        <v>76</v>
      </c>
      <c r="B19" s="24">
        <f>SUM((B13*0.75)+(B14*0.75)+(B15*0.5)+(B16*0.5)+ (B17*1.5)+B18)</f>
        <v>2</v>
      </c>
      <c r="C19" s="24">
        <f t="shared" ref="C19:J19" si="9">SUM((C13*0.75)+(C14*0.75)+(C15*0.5)+(C16*0.5)+ (C17*1.5)+C18)</f>
        <v>1113.75</v>
      </c>
      <c r="D19" s="24">
        <f t="shared" si="9"/>
        <v>4955.25</v>
      </c>
      <c r="E19" s="24">
        <f t="shared" si="9"/>
        <v>13285.25</v>
      </c>
      <c r="F19" s="24">
        <f t="shared" si="9"/>
        <v>11818.75</v>
      </c>
      <c r="G19" s="24">
        <f t="shared" si="9"/>
        <v>5136.5</v>
      </c>
      <c r="H19" s="24">
        <f t="shared" si="9"/>
        <v>2374.75</v>
      </c>
      <c r="I19" s="24">
        <f t="shared" si="9"/>
        <v>2815.25</v>
      </c>
      <c r="J19" s="24">
        <f t="shared" si="9"/>
        <v>348</v>
      </c>
      <c r="K19" s="54">
        <f>SUM(B19:J19)</f>
        <v>41849.5</v>
      </c>
    </row>
    <row r="20" spans="1:22" ht="13.15" customHeight="1" x14ac:dyDescent="0.2">
      <c r="A20" s="8" t="s">
        <v>77</v>
      </c>
      <c r="B20" s="26" t="s">
        <v>21</v>
      </c>
      <c r="C20" s="26" t="s">
        <v>22</v>
      </c>
      <c r="D20" s="27" t="s">
        <v>23</v>
      </c>
      <c r="E20" s="27" t="s">
        <v>24</v>
      </c>
      <c r="F20" s="27">
        <v>1</v>
      </c>
      <c r="G20" s="27" t="s">
        <v>25</v>
      </c>
      <c r="H20" s="27" t="s">
        <v>26</v>
      </c>
      <c r="I20" s="27" t="s">
        <v>27</v>
      </c>
      <c r="J20" s="27" t="s">
        <v>28</v>
      </c>
      <c r="K20" s="50"/>
    </row>
    <row r="21" spans="1:22" ht="3.6" hidden="1" customHeight="1" x14ac:dyDescent="0.2">
      <c r="A21" s="8"/>
      <c r="B21" s="26"/>
      <c r="C21" s="26"/>
      <c r="D21" s="27"/>
      <c r="E21" s="27"/>
      <c r="F21" s="27"/>
      <c r="G21" s="27"/>
      <c r="H21" s="27"/>
      <c r="I21" s="27"/>
      <c r="J21" s="27"/>
      <c r="K21" s="50"/>
    </row>
    <row r="22" spans="1:22" ht="17.45" customHeight="1" x14ac:dyDescent="0.25">
      <c r="A22" s="8" t="s">
        <v>78</v>
      </c>
      <c r="B22" s="28">
        <f>ROUND(B19/9*5,2)</f>
        <v>1.1100000000000001</v>
      </c>
      <c r="C22" s="28">
        <f>ROUND(C19/9*6,2)</f>
        <v>742.5</v>
      </c>
      <c r="D22" s="28">
        <f>ROUND(D19/9*7,2)</f>
        <v>3854.08</v>
      </c>
      <c r="E22" s="28">
        <f>ROUND(E19/9*8,2)</f>
        <v>11809.11</v>
      </c>
      <c r="F22" s="28">
        <f>ROUND(F19*F20,2)</f>
        <v>11818.75</v>
      </c>
      <c r="G22" s="28">
        <f>ROUND(G19/9*11,2)</f>
        <v>6277.94</v>
      </c>
      <c r="H22" s="28">
        <f>ROUND(H19/9*13,2)</f>
        <v>3430.19</v>
      </c>
      <c r="I22" s="28">
        <f>ROUND(I19/9*15,2)</f>
        <v>4692.08</v>
      </c>
      <c r="J22" s="28">
        <f>ROUND(J19/9*18,2)</f>
        <v>696</v>
      </c>
      <c r="K22" s="54">
        <f>SUM(B22:J22)</f>
        <v>43321.760000000002</v>
      </c>
    </row>
    <row r="23" spans="1:22" ht="25.15" customHeight="1" x14ac:dyDescent="0.25">
      <c r="A23" s="8" t="s">
        <v>89</v>
      </c>
      <c r="B23" s="55"/>
      <c r="C23" s="51"/>
      <c r="D23" s="51"/>
      <c r="E23" s="51"/>
      <c r="F23" s="51"/>
      <c r="G23" s="51"/>
      <c r="H23" s="51"/>
      <c r="I23" s="51"/>
      <c r="J23" s="51"/>
      <c r="K23" s="56">
        <v>0</v>
      </c>
      <c r="L23" s="32"/>
    </row>
    <row r="24" spans="1:22" ht="24.6" customHeight="1" x14ac:dyDescent="0.25">
      <c r="A24" s="8" t="s">
        <v>79</v>
      </c>
      <c r="B24" s="55"/>
      <c r="C24" s="51"/>
      <c r="D24" s="51"/>
      <c r="E24" s="51"/>
      <c r="F24" s="51"/>
      <c r="G24" s="51"/>
      <c r="H24" s="51"/>
      <c r="I24" s="51"/>
      <c r="J24" s="51"/>
      <c r="K24" s="54">
        <f>SUM(K22+K23)</f>
        <v>43321.760000000002</v>
      </c>
      <c r="M24" s="33"/>
    </row>
    <row r="25" spans="1:22" ht="15.6" customHeight="1" thickBot="1" x14ac:dyDescent="0.3">
      <c r="A25" s="34" t="s">
        <v>90</v>
      </c>
      <c r="B25" s="57"/>
      <c r="C25" s="58"/>
      <c r="D25" s="58"/>
      <c r="E25" s="58"/>
      <c r="F25" s="58"/>
      <c r="G25" s="58"/>
      <c r="H25" s="58"/>
      <c r="I25" s="58"/>
      <c r="J25" s="58"/>
      <c r="K25" s="59">
        <f>SUM(K24/100*97.5)</f>
        <v>42238.716</v>
      </c>
      <c r="M25" s="82"/>
    </row>
    <row r="26" spans="1:22" x14ac:dyDescent="0.2">
      <c r="F26" s="32"/>
      <c r="G26" s="37"/>
      <c r="H26" s="33"/>
      <c r="J26" s="33"/>
      <c r="K26" s="60"/>
    </row>
    <row r="27" spans="1:22" ht="15.75" x14ac:dyDescent="0.25">
      <c r="A27" s="1" t="s">
        <v>80</v>
      </c>
      <c r="C27" s="61"/>
      <c r="D27" s="2" t="s">
        <v>32</v>
      </c>
      <c r="E27" s="61"/>
      <c r="F27" s="61"/>
      <c r="G27" s="61"/>
      <c r="H27" s="61"/>
      <c r="K27" s="62"/>
    </row>
    <row r="28" spans="1:22" ht="16.5" thickBot="1" x14ac:dyDescent="0.3">
      <c r="D28" s="1" t="s">
        <v>55</v>
      </c>
      <c r="K28" s="62"/>
    </row>
    <row r="29" spans="1:22" x14ac:dyDescent="0.2">
      <c r="A29" s="4" t="s">
        <v>0</v>
      </c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3" t="s">
        <v>10</v>
      </c>
    </row>
    <row r="30" spans="1:22" x14ac:dyDescent="0.2">
      <c r="A30" s="8" t="s">
        <v>34</v>
      </c>
      <c r="B30" s="9"/>
      <c r="C30" s="10">
        <v>257</v>
      </c>
      <c r="D30" s="10">
        <v>415</v>
      </c>
      <c r="E30" s="10">
        <v>1405</v>
      </c>
      <c r="F30" s="10">
        <v>260</v>
      </c>
      <c r="G30" s="10">
        <v>133</v>
      </c>
      <c r="H30" s="10">
        <v>56</v>
      </c>
      <c r="I30" s="10">
        <v>8</v>
      </c>
      <c r="J30" s="10">
        <v>1</v>
      </c>
      <c r="K30" s="46">
        <f>SUM(B30:J30)</f>
        <v>2535</v>
      </c>
    </row>
    <row r="31" spans="1:22" x14ac:dyDescent="0.2">
      <c r="A31" s="8" t="s">
        <v>72</v>
      </c>
      <c r="B31" s="9"/>
      <c r="C31" s="77"/>
      <c r="D31" s="77"/>
      <c r="E31" s="77"/>
      <c r="F31" s="77"/>
      <c r="G31" s="77"/>
      <c r="H31" s="77"/>
      <c r="I31" s="77"/>
      <c r="J31" s="77"/>
      <c r="K31" s="48">
        <f>SUM(C31:J31)</f>
        <v>0</v>
      </c>
      <c r="M31" s="12" t="s">
        <v>44</v>
      </c>
      <c r="N31" s="12" t="s">
        <v>43</v>
      </c>
      <c r="O31" s="43"/>
      <c r="P31" s="12" t="s">
        <v>12</v>
      </c>
      <c r="Q31" s="15" t="s">
        <v>45</v>
      </c>
      <c r="R31" s="15" t="s">
        <v>43</v>
      </c>
      <c r="S31" s="43">
        <v>41958</v>
      </c>
    </row>
    <row r="32" spans="1:22" x14ac:dyDescent="0.2">
      <c r="A32" s="8" t="s">
        <v>83</v>
      </c>
      <c r="B32" s="9"/>
      <c r="C32" s="78"/>
      <c r="D32" s="78"/>
      <c r="E32" s="78"/>
      <c r="F32" s="78"/>
      <c r="G32" s="78"/>
      <c r="H32" s="78"/>
      <c r="I32" s="78"/>
      <c r="J32" s="78"/>
      <c r="K32" s="50">
        <f>SUM(B32:J32)</f>
        <v>0</v>
      </c>
      <c r="N32">
        <v>1</v>
      </c>
      <c r="O32">
        <v>12</v>
      </c>
      <c r="P32">
        <v>16</v>
      </c>
      <c r="Q32">
        <v>6</v>
      </c>
      <c r="R32">
        <v>2</v>
      </c>
      <c r="S32">
        <v>1</v>
      </c>
      <c r="T32">
        <v>0</v>
      </c>
      <c r="U32">
        <v>0</v>
      </c>
      <c r="V32">
        <f>SUM(N32:U32)</f>
        <v>38</v>
      </c>
    </row>
    <row r="33" spans="1:22" x14ac:dyDescent="0.2">
      <c r="A33" s="8" t="s">
        <v>84</v>
      </c>
      <c r="B33" s="9"/>
      <c r="C33" s="10">
        <f>N34</f>
        <v>1</v>
      </c>
      <c r="D33" s="10">
        <f t="shared" ref="D33:J33" si="10">O34</f>
        <v>13</v>
      </c>
      <c r="E33" s="10">
        <f t="shared" si="10"/>
        <v>19</v>
      </c>
      <c r="F33" s="10">
        <f t="shared" si="10"/>
        <v>6</v>
      </c>
      <c r="G33" s="10">
        <f t="shared" si="10"/>
        <v>2</v>
      </c>
      <c r="H33" s="10">
        <f t="shared" si="10"/>
        <v>1</v>
      </c>
      <c r="I33" s="10">
        <f t="shared" si="10"/>
        <v>0</v>
      </c>
      <c r="J33" s="10">
        <f t="shared" si="10"/>
        <v>0</v>
      </c>
      <c r="K33" s="46">
        <f>SUM(C33:J33)</f>
        <v>42</v>
      </c>
      <c r="N33" s="81">
        <v>0</v>
      </c>
      <c r="O33" s="81">
        <v>1</v>
      </c>
      <c r="P33" s="81">
        <v>3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>
        <f>SUM(N33:U33)</f>
        <v>4</v>
      </c>
    </row>
    <row r="34" spans="1:22" x14ac:dyDescent="0.2">
      <c r="A34" s="8" t="s">
        <v>13</v>
      </c>
      <c r="B34" s="9"/>
      <c r="C34" s="80">
        <v>93</v>
      </c>
      <c r="D34" s="80">
        <v>118</v>
      </c>
      <c r="E34" s="80">
        <v>171</v>
      </c>
      <c r="F34" s="80">
        <v>19</v>
      </c>
      <c r="G34" s="80">
        <v>9</v>
      </c>
      <c r="H34" s="80">
        <v>0</v>
      </c>
      <c r="I34" s="80">
        <v>0</v>
      </c>
      <c r="J34" s="80">
        <v>0</v>
      </c>
      <c r="K34" s="46">
        <f>SUM(C34:J34)</f>
        <v>410</v>
      </c>
      <c r="N34">
        <f>N32+N33</f>
        <v>1</v>
      </c>
      <c r="O34">
        <f t="shared" ref="O34" si="11">O32+O33</f>
        <v>13</v>
      </c>
      <c r="P34">
        <f t="shared" ref="P34" si="12">P32+P33</f>
        <v>19</v>
      </c>
      <c r="Q34">
        <f t="shared" ref="Q34" si="13">Q32+Q33</f>
        <v>6</v>
      </c>
      <c r="R34">
        <f t="shared" ref="R34" si="14">R32+R33</f>
        <v>2</v>
      </c>
      <c r="S34">
        <f t="shared" ref="S34" si="15">S32+S33</f>
        <v>1</v>
      </c>
      <c r="T34">
        <f t="shared" ref="T34" si="16">T32+T33</f>
        <v>0</v>
      </c>
      <c r="U34">
        <f t="shared" ref="U34" si="17">U32+U33</f>
        <v>0</v>
      </c>
    </row>
    <row r="35" spans="1:22" ht="22.5" x14ac:dyDescent="0.2">
      <c r="A35" s="8" t="s">
        <v>85</v>
      </c>
      <c r="B35" s="9"/>
      <c r="C35" s="14">
        <f>C30+C31+C32-C33-C34</f>
        <v>163</v>
      </c>
      <c r="D35" s="14">
        <f t="shared" ref="D35:J35" si="18">D30+D31+D32-D33-D34</f>
        <v>284</v>
      </c>
      <c r="E35" s="14">
        <f t="shared" si="18"/>
        <v>1215</v>
      </c>
      <c r="F35" s="14">
        <f t="shared" si="18"/>
        <v>235</v>
      </c>
      <c r="G35" s="14">
        <f t="shared" si="18"/>
        <v>122</v>
      </c>
      <c r="H35" s="14">
        <f t="shared" si="18"/>
        <v>55</v>
      </c>
      <c r="I35" s="14">
        <f t="shared" si="18"/>
        <v>8</v>
      </c>
      <c r="J35" s="14">
        <f t="shared" si="18"/>
        <v>1</v>
      </c>
      <c r="K35" s="46">
        <f>K30+K31+K32-K33-K34</f>
        <v>2083</v>
      </c>
    </row>
    <row r="36" spans="1:22" ht="22.5" x14ac:dyDescent="0.2">
      <c r="A36" s="8" t="s">
        <v>86</v>
      </c>
      <c r="B36" s="9"/>
      <c r="C36" s="14">
        <v>1</v>
      </c>
      <c r="D36" s="14">
        <v>0</v>
      </c>
      <c r="E36" s="14">
        <v>11</v>
      </c>
      <c r="F36" s="14">
        <v>1</v>
      </c>
      <c r="G36" s="14">
        <v>0</v>
      </c>
      <c r="H36" s="14">
        <v>1</v>
      </c>
      <c r="I36" s="14">
        <v>0</v>
      </c>
      <c r="J36" s="14">
        <v>1</v>
      </c>
      <c r="K36" s="50">
        <f>SUM(C36:J36)</f>
        <v>15</v>
      </c>
    </row>
    <row r="37" spans="1:22" ht="33.75" x14ac:dyDescent="0.2">
      <c r="A37" s="8" t="s">
        <v>15</v>
      </c>
      <c r="B37" s="16">
        <f t="shared" ref="B37:I37" si="19">C36</f>
        <v>1</v>
      </c>
      <c r="C37" s="16">
        <f t="shared" si="19"/>
        <v>0</v>
      </c>
      <c r="D37" s="16">
        <f t="shared" si="19"/>
        <v>11</v>
      </c>
      <c r="E37" s="16">
        <f t="shared" si="19"/>
        <v>1</v>
      </c>
      <c r="F37" s="16">
        <f t="shared" si="19"/>
        <v>0</v>
      </c>
      <c r="G37" s="16">
        <f t="shared" si="19"/>
        <v>1</v>
      </c>
      <c r="H37" s="16">
        <f t="shared" si="19"/>
        <v>0</v>
      </c>
      <c r="I37" s="16">
        <f t="shared" si="19"/>
        <v>1</v>
      </c>
      <c r="J37" s="9"/>
      <c r="K37" s="50">
        <f>SUM(B37:I37)</f>
        <v>15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22.5" x14ac:dyDescent="0.2">
      <c r="A38" s="8" t="s">
        <v>16</v>
      </c>
      <c r="B38" s="18">
        <f t="shared" ref="B38:K38" si="20">SUM(B35-B36+B37)</f>
        <v>1</v>
      </c>
      <c r="C38" s="18">
        <f t="shared" si="20"/>
        <v>162</v>
      </c>
      <c r="D38" s="18">
        <f t="shared" si="20"/>
        <v>295</v>
      </c>
      <c r="E38" s="18">
        <f t="shared" si="20"/>
        <v>1205</v>
      </c>
      <c r="F38" s="18">
        <f t="shared" si="20"/>
        <v>234</v>
      </c>
      <c r="G38" s="18">
        <f t="shared" si="20"/>
        <v>123</v>
      </c>
      <c r="H38" s="18">
        <f t="shared" si="20"/>
        <v>54</v>
      </c>
      <c r="I38" s="18">
        <f t="shared" si="20"/>
        <v>9</v>
      </c>
      <c r="J38" s="18">
        <f t="shared" si="20"/>
        <v>0</v>
      </c>
      <c r="K38" s="52">
        <f t="shared" si="20"/>
        <v>2083</v>
      </c>
    </row>
    <row r="39" spans="1:22" ht="22.5" x14ac:dyDescent="0.2">
      <c r="A39" s="8" t="s">
        <v>91</v>
      </c>
      <c r="B39" s="14">
        <v>0</v>
      </c>
      <c r="C39" s="20">
        <v>0</v>
      </c>
      <c r="D39" s="20">
        <v>0</v>
      </c>
      <c r="E39" s="20">
        <v>0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52">
        <f>SUM(B39:J39)</f>
        <v>1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22.5" x14ac:dyDescent="0.2">
      <c r="A40" s="8" t="s">
        <v>87</v>
      </c>
      <c r="B40" s="14">
        <v>0</v>
      </c>
      <c r="C40" s="14">
        <f>130+2</f>
        <v>132</v>
      </c>
      <c r="D40" s="14">
        <f>226+3</f>
        <v>229</v>
      </c>
      <c r="E40" s="14">
        <f>376+14</f>
        <v>390</v>
      </c>
      <c r="F40" s="14">
        <f>62+4</f>
        <v>66</v>
      </c>
      <c r="G40" s="14">
        <f>31+1</f>
        <v>32</v>
      </c>
      <c r="H40" s="14">
        <f>10+0</f>
        <v>10</v>
      </c>
      <c r="I40" s="14">
        <f>1+1</f>
        <v>2</v>
      </c>
      <c r="J40" s="14">
        <f>0+0</f>
        <v>0</v>
      </c>
      <c r="K40" s="52">
        <f>SUM(B40:J40)</f>
        <v>861</v>
      </c>
      <c r="L40" s="12"/>
      <c r="M40" s="12" t="s">
        <v>93</v>
      </c>
      <c r="N40">
        <v>0</v>
      </c>
      <c r="O40">
        <v>3</v>
      </c>
      <c r="P40">
        <v>15</v>
      </c>
      <c r="Q40">
        <v>0</v>
      </c>
      <c r="R40">
        <v>0</v>
      </c>
      <c r="S40">
        <v>1</v>
      </c>
      <c r="T40">
        <v>1</v>
      </c>
      <c r="U40">
        <v>0</v>
      </c>
      <c r="V40">
        <f>SUM(N40:U40)</f>
        <v>20</v>
      </c>
    </row>
    <row r="41" spans="1:22" ht="22.5" x14ac:dyDescent="0.2">
      <c r="A41" s="8" t="s">
        <v>88</v>
      </c>
      <c r="B41" s="21">
        <v>0</v>
      </c>
      <c r="C41" s="21">
        <f>N42</f>
        <v>0</v>
      </c>
      <c r="D41" s="21">
        <f t="shared" ref="D41:J41" si="21">O42</f>
        <v>3</v>
      </c>
      <c r="E41" s="21">
        <f t="shared" si="21"/>
        <v>15</v>
      </c>
      <c r="F41" s="21">
        <f t="shared" si="21"/>
        <v>0</v>
      </c>
      <c r="G41" s="21">
        <f t="shared" si="21"/>
        <v>0</v>
      </c>
      <c r="H41" s="21">
        <f t="shared" si="21"/>
        <v>1</v>
      </c>
      <c r="I41" s="21">
        <f t="shared" si="21"/>
        <v>1</v>
      </c>
      <c r="J41" s="21">
        <f t="shared" si="21"/>
        <v>0</v>
      </c>
      <c r="K41" s="53">
        <f>SUM(B41:J41)</f>
        <v>20</v>
      </c>
      <c r="L41" s="12"/>
      <c r="M41" s="12" t="s">
        <v>92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>
        <f>SUM(N41:U41)</f>
        <v>0</v>
      </c>
    </row>
    <row r="42" spans="1:22" x14ac:dyDescent="0.2">
      <c r="A42" s="8" t="s">
        <v>73</v>
      </c>
      <c r="B42" s="21">
        <v>0</v>
      </c>
      <c r="C42" s="21">
        <f t="shared" ref="C42:J42" si="22">C32</f>
        <v>0</v>
      </c>
      <c r="D42" s="21">
        <f t="shared" si="22"/>
        <v>0</v>
      </c>
      <c r="E42" s="21">
        <f t="shared" si="22"/>
        <v>0</v>
      </c>
      <c r="F42" s="21">
        <f t="shared" si="22"/>
        <v>0</v>
      </c>
      <c r="G42" s="21">
        <f t="shared" si="22"/>
        <v>0</v>
      </c>
      <c r="H42" s="21">
        <f t="shared" si="22"/>
        <v>0</v>
      </c>
      <c r="I42" s="21">
        <f t="shared" si="22"/>
        <v>0</v>
      </c>
      <c r="J42" s="21">
        <f t="shared" si="22"/>
        <v>0</v>
      </c>
      <c r="K42" s="53">
        <f>SUM(B42:J42)</f>
        <v>0</v>
      </c>
      <c r="N42">
        <f>N40+N41</f>
        <v>0</v>
      </c>
      <c r="O42">
        <f t="shared" ref="O42" si="23">O40+O41</f>
        <v>3</v>
      </c>
      <c r="P42">
        <f t="shared" ref="P42" si="24">P40+P41</f>
        <v>15</v>
      </c>
      <c r="Q42">
        <f t="shared" ref="Q42" si="25">Q40+Q41</f>
        <v>0</v>
      </c>
      <c r="R42">
        <f t="shared" ref="R42" si="26">R40+R41</f>
        <v>0</v>
      </c>
      <c r="S42">
        <f t="shared" ref="S42" si="27">S40+S41</f>
        <v>1</v>
      </c>
      <c r="T42">
        <f t="shared" ref="T42" si="28">T40+T41</f>
        <v>1</v>
      </c>
      <c r="U42">
        <f t="shared" ref="U42" si="29">U40+U41</f>
        <v>0</v>
      </c>
    </row>
    <row r="43" spans="1:22" x14ac:dyDescent="0.2">
      <c r="A43" s="8" t="s">
        <v>74</v>
      </c>
      <c r="B43" s="14">
        <v>0</v>
      </c>
      <c r="C43" s="21">
        <v>2</v>
      </c>
      <c r="D43" s="21">
        <v>1</v>
      </c>
      <c r="E43" s="21">
        <v>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52">
        <f>SUM(B43:J43)</f>
        <v>6</v>
      </c>
    </row>
    <row r="44" spans="1:22" ht="22.5" x14ac:dyDescent="0.2">
      <c r="A44" s="8" t="s">
        <v>75</v>
      </c>
      <c r="B44" s="14">
        <f>SUM(B38-B39-B40-B41-B42-B43)</f>
        <v>1</v>
      </c>
      <c r="C44" s="14">
        <f t="shared" ref="C44:K44" si="30">SUM(C38-C39-C40-C41-C42-C43)</f>
        <v>28</v>
      </c>
      <c r="D44" s="14">
        <f t="shared" si="30"/>
        <v>62</v>
      </c>
      <c r="E44" s="14">
        <f t="shared" si="30"/>
        <v>797</v>
      </c>
      <c r="F44" s="14">
        <f t="shared" si="30"/>
        <v>168</v>
      </c>
      <c r="G44" s="14">
        <f t="shared" si="30"/>
        <v>90</v>
      </c>
      <c r="H44" s="14">
        <f t="shared" si="30"/>
        <v>43</v>
      </c>
      <c r="I44" s="14">
        <f t="shared" si="30"/>
        <v>6</v>
      </c>
      <c r="J44" s="14">
        <f t="shared" si="30"/>
        <v>0</v>
      </c>
      <c r="K44" s="52">
        <f t="shared" si="30"/>
        <v>1195</v>
      </c>
    </row>
    <row r="45" spans="1:22" ht="33.75" x14ac:dyDescent="0.2">
      <c r="A45" s="8" t="s">
        <v>76</v>
      </c>
      <c r="B45" s="24">
        <f>SUM((B39*0.75)+(B40*0.75)+(B41*0.5)+(B42*0.5)+ (B43*1.5)+B44)</f>
        <v>1</v>
      </c>
      <c r="C45" s="24">
        <f t="shared" ref="C45:J45" si="31">SUM((C39*0.75)+(C40*0.75)+(C41*0.5)+(C42*0.5)+ (C43*1.5)+C44)</f>
        <v>130</v>
      </c>
      <c r="D45" s="24">
        <f t="shared" si="31"/>
        <v>236.75</v>
      </c>
      <c r="E45" s="24">
        <f t="shared" si="31"/>
        <v>1101.5</v>
      </c>
      <c r="F45" s="24">
        <f t="shared" si="31"/>
        <v>217.5</v>
      </c>
      <c r="G45" s="24">
        <f t="shared" si="31"/>
        <v>114.75</v>
      </c>
      <c r="H45" s="24">
        <f t="shared" si="31"/>
        <v>51</v>
      </c>
      <c r="I45" s="24">
        <f t="shared" si="31"/>
        <v>8</v>
      </c>
      <c r="J45" s="24">
        <f t="shared" si="31"/>
        <v>0</v>
      </c>
      <c r="K45" s="56">
        <f>SUM(B45:J45)</f>
        <v>1860.5</v>
      </c>
    </row>
    <row r="46" spans="1:22" x14ac:dyDescent="0.2">
      <c r="A46" s="8" t="s">
        <v>77</v>
      </c>
      <c r="B46" s="26" t="s">
        <v>21</v>
      </c>
      <c r="C46" s="26" t="s">
        <v>22</v>
      </c>
      <c r="D46" s="27" t="s">
        <v>23</v>
      </c>
      <c r="E46" s="27" t="s">
        <v>24</v>
      </c>
      <c r="F46" s="27">
        <v>1</v>
      </c>
      <c r="G46" s="27" t="s">
        <v>25</v>
      </c>
      <c r="H46" s="27" t="s">
        <v>26</v>
      </c>
      <c r="I46" s="27" t="s">
        <v>27</v>
      </c>
      <c r="J46" s="27" t="s">
        <v>28</v>
      </c>
      <c r="K46" s="50"/>
    </row>
    <row r="47" spans="1:22" x14ac:dyDescent="0.2">
      <c r="A47" s="8"/>
      <c r="B47" s="26"/>
      <c r="C47" s="26"/>
      <c r="D47" s="27"/>
      <c r="E47" s="27"/>
      <c r="F47" s="27"/>
      <c r="G47" s="27"/>
      <c r="H47" s="27"/>
      <c r="I47" s="27"/>
      <c r="J47" s="27"/>
      <c r="K47" s="50"/>
    </row>
    <row r="48" spans="1:22" ht="15" x14ac:dyDescent="0.25">
      <c r="A48" s="8" t="s">
        <v>78</v>
      </c>
      <c r="B48" s="28">
        <f>ROUND(B45/9*5,2)</f>
        <v>0.56000000000000005</v>
      </c>
      <c r="C48" s="28">
        <f>ROUND(C45/9*6,2)</f>
        <v>86.67</v>
      </c>
      <c r="D48" s="28">
        <f>ROUND(D45/9*7,2)</f>
        <v>184.14</v>
      </c>
      <c r="E48" s="28">
        <f>ROUND(E45/9*8,2)</f>
        <v>979.11</v>
      </c>
      <c r="F48" s="28">
        <f>ROUND(F45*F46,2)</f>
        <v>217.5</v>
      </c>
      <c r="G48" s="28">
        <f>ROUND(G45/9*11,2)</f>
        <v>140.25</v>
      </c>
      <c r="H48" s="28">
        <f>ROUND(H45/9*13,2)</f>
        <v>73.67</v>
      </c>
      <c r="I48" s="28">
        <f>ROUND(I45/9*15,2)</f>
        <v>13.33</v>
      </c>
      <c r="J48" s="28">
        <f>ROUND(J45/9*18,2)</f>
        <v>0</v>
      </c>
      <c r="K48" s="54">
        <f>SUM(B48:J48)</f>
        <v>1695.23</v>
      </c>
      <c r="L48" s="32"/>
    </row>
    <row r="49" spans="1:22" ht="23.25" x14ac:dyDescent="0.25">
      <c r="A49" s="8" t="s">
        <v>89</v>
      </c>
      <c r="B49" s="55"/>
      <c r="C49" s="51"/>
      <c r="D49" s="51"/>
      <c r="E49" s="51"/>
      <c r="F49" s="51"/>
      <c r="G49" s="51"/>
      <c r="H49" s="51"/>
      <c r="I49" s="51"/>
      <c r="J49" s="51"/>
      <c r="K49" s="56">
        <v>0</v>
      </c>
      <c r="L49" s="37"/>
    </row>
    <row r="50" spans="1:22" ht="23.25" x14ac:dyDescent="0.25">
      <c r="A50" s="8" t="s">
        <v>79</v>
      </c>
      <c r="B50" s="55"/>
      <c r="C50" s="51"/>
      <c r="D50" s="51"/>
      <c r="E50" s="51"/>
      <c r="F50" s="51"/>
      <c r="G50" s="51"/>
      <c r="H50" s="51"/>
      <c r="I50" s="51"/>
      <c r="J50" s="51"/>
      <c r="K50" s="54">
        <f>SUM(K48+K49)</f>
        <v>1695.23</v>
      </c>
    </row>
    <row r="51" spans="1:22" ht="16.5" thickBot="1" x14ac:dyDescent="0.3">
      <c r="A51" s="34" t="s">
        <v>90</v>
      </c>
      <c r="B51" s="57"/>
      <c r="C51" s="58"/>
      <c r="D51" s="58"/>
      <c r="E51" s="58"/>
      <c r="F51" s="58"/>
      <c r="G51" s="58"/>
      <c r="H51" s="58"/>
      <c r="I51" s="58"/>
      <c r="J51" s="58"/>
      <c r="K51" s="59">
        <f>SUM(K50/100*97.5)</f>
        <v>1652.8492500000002</v>
      </c>
    </row>
    <row r="52" spans="1:22" ht="15.75" x14ac:dyDescent="0.25">
      <c r="A52" s="1" t="s">
        <v>80</v>
      </c>
      <c r="D52" s="2" t="s">
        <v>32</v>
      </c>
      <c r="K52" s="62"/>
    </row>
    <row r="53" spans="1:22" ht="16.5" thickBot="1" x14ac:dyDescent="0.3">
      <c r="D53" s="1" t="s">
        <v>56</v>
      </c>
      <c r="K53" s="62"/>
    </row>
    <row r="54" spans="1:22" x14ac:dyDescent="0.2">
      <c r="A54" s="4" t="s">
        <v>0</v>
      </c>
      <c r="B54" s="5" t="s">
        <v>1</v>
      </c>
      <c r="C54" s="6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  <c r="K54" s="63" t="s">
        <v>10</v>
      </c>
    </row>
    <row r="55" spans="1:22" x14ac:dyDescent="0.2">
      <c r="A55" s="8" t="s">
        <v>34</v>
      </c>
      <c r="B55" s="9"/>
      <c r="C55" s="10">
        <v>84</v>
      </c>
      <c r="D55" s="10">
        <v>56</v>
      </c>
      <c r="E55" s="10">
        <v>297</v>
      </c>
      <c r="F55" s="10">
        <v>780</v>
      </c>
      <c r="G55" s="10">
        <v>153</v>
      </c>
      <c r="H55" s="10">
        <v>25</v>
      </c>
      <c r="I55" s="10">
        <v>71</v>
      </c>
      <c r="J55" s="10">
        <v>3</v>
      </c>
      <c r="K55" s="46">
        <f>SUM(B55:J55)</f>
        <v>1469</v>
      </c>
    </row>
    <row r="56" spans="1:22" x14ac:dyDescent="0.2">
      <c r="A56" s="8" t="s">
        <v>72</v>
      </c>
      <c r="B56" s="9"/>
      <c r="C56" s="77"/>
      <c r="D56" s="77"/>
      <c r="E56" s="77"/>
      <c r="F56" s="77"/>
      <c r="G56" s="77"/>
      <c r="H56" s="77"/>
      <c r="I56" s="77"/>
      <c r="J56" s="77"/>
      <c r="K56" s="48">
        <f>SUM(C56:J56)</f>
        <v>0</v>
      </c>
      <c r="M56" s="12" t="s">
        <v>44</v>
      </c>
      <c r="N56" s="12" t="s">
        <v>43</v>
      </c>
      <c r="O56" s="43"/>
      <c r="P56" s="12" t="s">
        <v>12</v>
      </c>
      <c r="Q56" s="15" t="s">
        <v>45</v>
      </c>
      <c r="R56" s="15" t="s">
        <v>43</v>
      </c>
      <c r="S56" s="43">
        <v>41958</v>
      </c>
    </row>
    <row r="57" spans="1:22" x14ac:dyDescent="0.2">
      <c r="A57" s="8" t="s">
        <v>83</v>
      </c>
      <c r="B57" s="9"/>
      <c r="C57" s="78"/>
      <c r="D57" s="78"/>
      <c r="E57" s="78"/>
      <c r="F57" s="78"/>
      <c r="G57" s="78"/>
      <c r="H57" s="78"/>
      <c r="I57" s="78"/>
      <c r="J57" s="78"/>
      <c r="K57" s="50">
        <f>SUM(B57:J57)</f>
        <v>0</v>
      </c>
      <c r="N57">
        <v>3</v>
      </c>
      <c r="O57">
        <v>1</v>
      </c>
      <c r="P57">
        <v>11</v>
      </c>
      <c r="Q57">
        <v>11</v>
      </c>
      <c r="R57">
        <v>0</v>
      </c>
      <c r="S57">
        <v>0</v>
      </c>
      <c r="T57">
        <v>0</v>
      </c>
      <c r="U57">
        <v>0</v>
      </c>
      <c r="V57">
        <f>SUM(N57:U57)</f>
        <v>26</v>
      </c>
    </row>
    <row r="58" spans="1:22" x14ac:dyDescent="0.2">
      <c r="A58" s="8" t="s">
        <v>84</v>
      </c>
      <c r="B58" s="9"/>
      <c r="C58" s="10">
        <f>N59</f>
        <v>3</v>
      </c>
      <c r="D58" s="10">
        <f t="shared" ref="D58:J58" si="32">O59</f>
        <v>1</v>
      </c>
      <c r="E58" s="10">
        <f t="shared" si="32"/>
        <v>13</v>
      </c>
      <c r="F58" s="10">
        <f t="shared" si="32"/>
        <v>12</v>
      </c>
      <c r="G58" s="10">
        <f t="shared" si="32"/>
        <v>0</v>
      </c>
      <c r="H58" s="10">
        <f t="shared" si="32"/>
        <v>0</v>
      </c>
      <c r="I58" s="10">
        <f t="shared" si="32"/>
        <v>0</v>
      </c>
      <c r="J58" s="10">
        <f t="shared" si="32"/>
        <v>0</v>
      </c>
      <c r="K58" s="46">
        <f>SUM(C58:J58)</f>
        <v>29</v>
      </c>
      <c r="N58" s="81">
        <v>0</v>
      </c>
      <c r="O58" s="81">
        <v>0</v>
      </c>
      <c r="P58" s="81">
        <v>2</v>
      </c>
      <c r="Q58" s="81">
        <v>1</v>
      </c>
      <c r="R58" s="81">
        <v>0</v>
      </c>
      <c r="S58" s="81">
        <v>0</v>
      </c>
      <c r="T58" s="81">
        <v>0</v>
      </c>
      <c r="U58" s="81">
        <v>0</v>
      </c>
      <c r="V58">
        <f>SUM(N58:U58)</f>
        <v>3</v>
      </c>
    </row>
    <row r="59" spans="1:22" x14ac:dyDescent="0.2">
      <c r="A59" s="8" t="s">
        <v>13</v>
      </c>
      <c r="B59" s="9"/>
      <c r="C59" s="80">
        <v>12</v>
      </c>
      <c r="D59" s="80">
        <v>7</v>
      </c>
      <c r="E59" s="80">
        <v>37</v>
      </c>
      <c r="F59" s="80">
        <v>54</v>
      </c>
      <c r="G59" s="80">
        <v>5</v>
      </c>
      <c r="H59" s="80">
        <v>0</v>
      </c>
      <c r="I59" s="80">
        <v>0</v>
      </c>
      <c r="J59" s="80">
        <v>0</v>
      </c>
      <c r="K59" s="46">
        <f>SUM(C59:J59)</f>
        <v>115</v>
      </c>
      <c r="L59" s="12"/>
      <c r="N59">
        <f>N57+N58</f>
        <v>3</v>
      </c>
      <c r="O59">
        <f t="shared" ref="O59" si="33">O57+O58</f>
        <v>1</v>
      </c>
      <c r="P59">
        <f t="shared" ref="P59" si="34">P57+P58</f>
        <v>13</v>
      </c>
      <c r="Q59">
        <f t="shared" ref="Q59" si="35">Q57+Q58</f>
        <v>12</v>
      </c>
      <c r="R59">
        <f t="shared" ref="R59" si="36">R57+R58</f>
        <v>0</v>
      </c>
      <c r="S59">
        <f t="shared" ref="S59" si="37">S57+S58</f>
        <v>0</v>
      </c>
      <c r="T59">
        <f t="shared" ref="T59" si="38">T57+T58</f>
        <v>0</v>
      </c>
      <c r="U59">
        <f t="shared" ref="U59" si="39">U57+U58</f>
        <v>0</v>
      </c>
    </row>
    <row r="60" spans="1:22" ht="22.5" x14ac:dyDescent="0.2">
      <c r="A60" s="8" t="s">
        <v>85</v>
      </c>
      <c r="B60" s="9"/>
      <c r="C60" s="14">
        <f>C55+C56+C57-C58-C59</f>
        <v>69</v>
      </c>
      <c r="D60" s="14">
        <f t="shared" ref="D60:J60" si="40">D55+D56+D57-D58-D59</f>
        <v>48</v>
      </c>
      <c r="E60" s="14">
        <f t="shared" si="40"/>
        <v>247</v>
      </c>
      <c r="F60" s="14">
        <f t="shared" si="40"/>
        <v>714</v>
      </c>
      <c r="G60" s="14">
        <f t="shared" si="40"/>
        <v>148</v>
      </c>
      <c r="H60" s="14">
        <f t="shared" si="40"/>
        <v>25</v>
      </c>
      <c r="I60" s="14">
        <f t="shared" si="40"/>
        <v>71</v>
      </c>
      <c r="J60" s="14">
        <f t="shared" si="40"/>
        <v>3</v>
      </c>
      <c r="K60" s="46">
        <f>K55+K56+K57-K58-K59</f>
        <v>1325</v>
      </c>
    </row>
    <row r="61" spans="1:22" ht="22.5" x14ac:dyDescent="0.2">
      <c r="A61" s="8" t="s">
        <v>86</v>
      </c>
      <c r="B61" s="9"/>
      <c r="C61" s="14">
        <v>1</v>
      </c>
      <c r="D61" s="14">
        <v>0</v>
      </c>
      <c r="E61" s="14">
        <v>2</v>
      </c>
      <c r="F61" s="14">
        <v>7</v>
      </c>
      <c r="G61" s="14">
        <v>0</v>
      </c>
      <c r="H61" s="14">
        <v>0</v>
      </c>
      <c r="I61" s="14">
        <v>2</v>
      </c>
      <c r="J61" s="14">
        <v>0</v>
      </c>
      <c r="K61" s="50">
        <f>SUM(C61:J61)</f>
        <v>12</v>
      </c>
    </row>
    <row r="62" spans="1:22" ht="33.75" x14ac:dyDescent="0.2">
      <c r="A62" s="8" t="s">
        <v>15</v>
      </c>
      <c r="B62" s="16">
        <f t="shared" ref="B62:I62" si="41">C61</f>
        <v>1</v>
      </c>
      <c r="C62" s="16">
        <f t="shared" si="41"/>
        <v>0</v>
      </c>
      <c r="D62" s="16">
        <f t="shared" si="41"/>
        <v>2</v>
      </c>
      <c r="E62" s="16">
        <f t="shared" si="41"/>
        <v>7</v>
      </c>
      <c r="F62" s="16">
        <f t="shared" si="41"/>
        <v>0</v>
      </c>
      <c r="G62" s="16">
        <f t="shared" si="41"/>
        <v>0</v>
      </c>
      <c r="H62" s="16">
        <f t="shared" si="41"/>
        <v>2</v>
      </c>
      <c r="I62" s="16">
        <f t="shared" si="41"/>
        <v>0</v>
      </c>
      <c r="J62" s="9"/>
      <c r="K62" s="50">
        <f>SUM(B62:I62)</f>
        <v>12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22.5" x14ac:dyDescent="0.2">
      <c r="A63" s="8" t="s">
        <v>16</v>
      </c>
      <c r="B63" s="18">
        <f t="shared" ref="B63:K63" si="42">SUM(B60-B61+B62)</f>
        <v>1</v>
      </c>
      <c r="C63" s="18">
        <f t="shared" si="42"/>
        <v>68</v>
      </c>
      <c r="D63" s="18">
        <f t="shared" si="42"/>
        <v>50</v>
      </c>
      <c r="E63" s="18">
        <f t="shared" si="42"/>
        <v>252</v>
      </c>
      <c r="F63" s="18">
        <f t="shared" si="42"/>
        <v>707</v>
      </c>
      <c r="G63" s="18">
        <f t="shared" si="42"/>
        <v>148</v>
      </c>
      <c r="H63" s="18">
        <f t="shared" si="42"/>
        <v>27</v>
      </c>
      <c r="I63" s="18">
        <f t="shared" si="42"/>
        <v>69</v>
      </c>
      <c r="J63" s="18">
        <f t="shared" si="42"/>
        <v>3</v>
      </c>
      <c r="K63" s="52">
        <f t="shared" si="42"/>
        <v>1325</v>
      </c>
    </row>
    <row r="64" spans="1:22" ht="22.5" x14ac:dyDescent="0.2">
      <c r="A64" s="8" t="s">
        <v>91</v>
      </c>
      <c r="B64" s="14">
        <v>0</v>
      </c>
      <c r="C64" s="20">
        <v>0</v>
      </c>
      <c r="D64" s="20">
        <v>0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52">
        <f>SUM(B64:J64)</f>
        <v>1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2.5" x14ac:dyDescent="0.2">
      <c r="A65" s="8" t="s">
        <v>87</v>
      </c>
      <c r="B65" s="14">
        <v>0</v>
      </c>
      <c r="C65" s="14">
        <f>42+1</f>
        <v>43</v>
      </c>
      <c r="D65" s="14">
        <f>23+2</f>
        <v>25</v>
      </c>
      <c r="E65" s="14">
        <f>100+12</f>
        <v>112</v>
      </c>
      <c r="F65" s="14">
        <f>205+16</f>
        <v>221</v>
      </c>
      <c r="G65" s="14">
        <f>36+3</f>
        <v>39</v>
      </c>
      <c r="H65" s="14">
        <f>6+1</f>
        <v>7</v>
      </c>
      <c r="I65" s="14">
        <f>14+1</f>
        <v>15</v>
      </c>
      <c r="J65" s="14">
        <f>0+0</f>
        <v>0</v>
      </c>
      <c r="K65" s="52">
        <f>SUM(B65:J65)</f>
        <v>462</v>
      </c>
      <c r="M65" s="12" t="s">
        <v>93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f>SUM(N65:U65)</f>
        <v>0</v>
      </c>
    </row>
    <row r="66" spans="1:22" ht="22.5" x14ac:dyDescent="0.2">
      <c r="A66" s="8" t="s">
        <v>88</v>
      </c>
      <c r="B66" s="21">
        <v>0</v>
      </c>
      <c r="C66" s="21">
        <f>N67</f>
        <v>0</v>
      </c>
      <c r="D66" s="21">
        <f t="shared" ref="D66:J66" si="43">O67</f>
        <v>0</v>
      </c>
      <c r="E66" s="21">
        <f t="shared" si="43"/>
        <v>0</v>
      </c>
      <c r="F66" s="21">
        <f t="shared" si="43"/>
        <v>0</v>
      </c>
      <c r="G66" s="21">
        <f t="shared" si="43"/>
        <v>0</v>
      </c>
      <c r="H66" s="21">
        <f t="shared" si="43"/>
        <v>0</v>
      </c>
      <c r="I66" s="21">
        <f t="shared" si="43"/>
        <v>0</v>
      </c>
      <c r="J66" s="21">
        <f t="shared" si="43"/>
        <v>0</v>
      </c>
      <c r="K66" s="53">
        <f>SUM(B66:J66)</f>
        <v>0</v>
      </c>
      <c r="M66" s="12" t="s">
        <v>92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>
        <f>SUM(N66:U66)</f>
        <v>0</v>
      </c>
    </row>
    <row r="67" spans="1:22" x14ac:dyDescent="0.2">
      <c r="A67" s="8" t="s">
        <v>73</v>
      </c>
      <c r="B67" s="21">
        <v>0</v>
      </c>
      <c r="C67" s="21">
        <f t="shared" ref="C67:J67" si="44">C57</f>
        <v>0</v>
      </c>
      <c r="D67" s="21">
        <f t="shared" si="44"/>
        <v>0</v>
      </c>
      <c r="E67" s="21">
        <f t="shared" si="44"/>
        <v>0</v>
      </c>
      <c r="F67" s="21">
        <f t="shared" si="44"/>
        <v>0</v>
      </c>
      <c r="G67" s="21">
        <f t="shared" si="44"/>
        <v>0</v>
      </c>
      <c r="H67" s="21">
        <f t="shared" si="44"/>
        <v>0</v>
      </c>
      <c r="I67" s="21">
        <f t="shared" si="44"/>
        <v>0</v>
      </c>
      <c r="J67" s="21">
        <f t="shared" si="44"/>
        <v>0</v>
      </c>
      <c r="K67" s="53">
        <f>SUM(B67:J67)</f>
        <v>0</v>
      </c>
      <c r="N67">
        <f>N65+N66</f>
        <v>0</v>
      </c>
      <c r="O67">
        <f t="shared" ref="O67" si="45">O65+O66</f>
        <v>0</v>
      </c>
      <c r="P67">
        <f t="shared" ref="P67" si="46">P65+P66</f>
        <v>0</v>
      </c>
      <c r="Q67">
        <f t="shared" ref="Q67" si="47">Q65+Q66</f>
        <v>0</v>
      </c>
      <c r="R67">
        <f t="shared" ref="R67" si="48">R65+R66</f>
        <v>0</v>
      </c>
      <c r="S67">
        <f t="shared" ref="S67" si="49">S65+S66</f>
        <v>0</v>
      </c>
      <c r="T67">
        <f t="shared" ref="T67" si="50">T65+T66</f>
        <v>0</v>
      </c>
      <c r="U67">
        <f t="shared" ref="U67" si="51">U65+U66</f>
        <v>0</v>
      </c>
    </row>
    <row r="68" spans="1:22" x14ac:dyDescent="0.2">
      <c r="A68" s="8" t="s">
        <v>74</v>
      </c>
      <c r="B68" s="14">
        <v>0</v>
      </c>
      <c r="C68" s="21">
        <v>0</v>
      </c>
      <c r="D68" s="21">
        <v>4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52">
        <f>SUM(B68:J68)</f>
        <v>5</v>
      </c>
    </row>
    <row r="69" spans="1:22" ht="22.5" x14ac:dyDescent="0.2">
      <c r="A69" s="8" t="s">
        <v>75</v>
      </c>
      <c r="B69" s="14">
        <f>SUM(B63-B64-B65-B66-B67-B68)</f>
        <v>1</v>
      </c>
      <c r="C69" s="14">
        <f t="shared" ref="C69:K69" si="52">SUM(C63-C64-C65-C66-C67-C68)</f>
        <v>25</v>
      </c>
      <c r="D69" s="14">
        <f t="shared" si="52"/>
        <v>21</v>
      </c>
      <c r="E69" s="14">
        <f t="shared" si="52"/>
        <v>139</v>
      </c>
      <c r="F69" s="14">
        <f t="shared" si="52"/>
        <v>486</v>
      </c>
      <c r="G69" s="14">
        <f t="shared" si="52"/>
        <v>108</v>
      </c>
      <c r="H69" s="14">
        <f t="shared" si="52"/>
        <v>20</v>
      </c>
      <c r="I69" s="14">
        <f t="shared" si="52"/>
        <v>54</v>
      </c>
      <c r="J69" s="14">
        <f t="shared" si="52"/>
        <v>3</v>
      </c>
      <c r="K69" s="52">
        <f t="shared" si="52"/>
        <v>857</v>
      </c>
    </row>
    <row r="70" spans="1:22" ht="33.75" x14ac:dyDescent="0.2">
      <c r="A70" s="8" t="s">
        <v>76</v>
      </c>
      <c r="B70" s="24">
        <f>SUM((B64*0.75)+(B65*0.75)+(B66*0.5)+(B67*0.5)+ (B68*1.5)+B69)</f>
        <v>1</v>
      </c>
      <c r="C70" s="24">
        <f t="shared" ref="C70:J70" si="53">SUM((C64*0.75)+(C65*0.75)+(C66*0.5)+(C67*0.5)+ (C68*1.5)+C69)</f>
        <v>57.25</v>
      </c>
      <c r="D70" s="24">
        <f t="shared" si="53"/>
        <v>45.75</v>
      </c>
      <c r="E70" s="24">
        <f t="shared" si="53"/>
        <v>224.5</v>
      </c>
      <c r="F70" s="24">
        <f t="shared" si="53"/>
        <v>651.75</v>
      </c>
      <c r="G70" s="24">
        <f t="shared" si="53"/>
        <v>138</v>
      </c>
      <c r="H70" s="24">
        <f t="shared" si="53"/>
        <v>25.25</v>
      </c>
      <c r="I70" s="24">
        <f t="shared" si="53"/>
        <v>65.25</v>
      </c>
      <c r="J70" s="24">
        <f t="shared" si="53"/>
        <v>3</v>
      </c>
      <c r="K70" s="54">
        <f>SUM(B70:J70)</f>
        <v>1211.75</v>
      </c>
    </row>
    <row r="71" spans="1:22" x14ac:dyDescent="0.2">
      <c r="A71" s="8" t="s">
        <v>77</v>
      </c>
      <c r="B71" s="26" t="s">
        <v>21</v>
      </c>
      <c r="C71" s="26" t="s">
        <v>22</v>
      </c>
      <c r="D71" s="27" t="s">
        <v>23</v>
      </c>
      <c r="E71" s="27" t="s">
        <v>24</v>
      </c>
      <c r="F71" s="27">
        <v>1</v>
      </c>
      <c r="G71" s="27" t="s">
        <v>25</v>
      </c>
      <c r="H71" s="27" t="s">
        <v>26</v>
      </c>
      <c r="I71" s="27" t="s">
        <v>27</v>
      </c>
      <c r="J71" s="27" t="s">
        <v>28</v>
      </c>
      <c r="K71" s="50"/>
    </row>
    <row r="72" spans="1:22" x14ac:dyDescent="0.2">
      <c r="A72" s="8"/>
      <c r="B72" s="26"/>
      <c r="C72" s="26"/>
      <c r="D72" s="27"/>
      <c r="E72" s="27"/>
      <c r="F72" s="27"/>
      <c r="G72" s="27"/>
      <c r="H72" s="27"/>
      <c r="I72" s="27"/>
      <c r="J72" s="27"/>
      <c r="K72" s="50"/>
    </row>
    <row r="73" spans="1:22" ht="15" x14ac:dyDescent="0.25">
      <c r="A73" s="8" t="s">
        <v>78</v>
      </c>
      <c r="B73" s="28">
        <f>ROUND(B70/9*5,2)</f>
        <v>0.56000000000000005</v>
      </c>
      <c r="C73" s="28">
        <f>ROUND(C70/9*6,2)</f>
        <v>38.17</v>
      </c>
      <c r="D73" s="28">
        <f>ROUND(D70/9*7,2)</f>
        <v>35.58</v>
      </c>
      <c r="E73" s="28">
        <f>ROUND(E70/9*8,2)</f>
        <v>199.56</v>
      </c>
      <c r="F73" s="28">
        <f>ROUND(F70*F71,2)</f>
        <v>651.75</v>
      </c>
      <c r="G73" s="28">
        <f>ROUND(G70/9*11,2)</f>
        <v>168.67</v>
      </c>
      <c r="H73" s="28">
        <f>ROUND(H70/9*13,2)</f>
        <v>36.47</v>
      </c>
      <c r="I73" s="28">
        <f>ROUND(I70/9*15,2)</f>
        <v>108.75</v>
      </c>
      <c r="J73" s="28">
        <f>ROUND(J70/9*18,2)</f>
        <v>6</v>
      </c>
      <c r="K73" s="54">
        <f>SUM(B73:J73)</f>
        <v>1245.51</v>
      </c>
    </row>
    <row r="74" spans="1:22" ht="23.25" x14ac:dyDescent="0.25">
      <c r="A74" s="8" t="s">
        <v>89</v>
      </c>
      <c r="B74" s="55"/>
      <c r="C74" s="51"/>
      <c r="D74" s="51"/>
      <c r="E74" s="51"/>
      <c r="F74" s="51"/>
      <c r="G74" s="51"/>
      <c r="H74" s="51"/>
      <c r="I74" s="51"/>
      <c r="J74" s="51"/>
      <c r="K74" s="56">
        <v>0</v>
      </c>
    </row>
    <row r="75" spans="1:22" ht="23.25" x14ac:dyDescent="0.25">
      <c r="A75" s="8" t="s">
        <v>79</v>
      </c>
      <c r="B75" s="55"/>
      <c r="C75" s="51"/>
      <c r="D75" s="51"/>
      <c r="E75" s="51"/>
      <c r="F75" s="51"/>
      <c r="G75" s="51"/>
      <c r="H75" s="51"/>
      <c r="I75" s="51"/>
      <c r="J75" s="51"/>
      <c r="K75" s="54">
        <f>SUM(K73+K74)</f>
        <v>1245.51</v>
      </c>
    </row>
    <row r="76" spans="1:22" ht="16.5" thickBot="1" x14ac:dyDescent="0.3">
      <c r="A76" s="34" t="s">
        <v>90</v>
      </c>
      <c r="B76" s="57"/>
      <c r="C76" s="58"/>
      <c r="D76" s="58"/>
      <c r="E76" s="58"/>
      <c r="F76" s="58"/>
      <c r="G76" s="58"/>
      <c r="H76" s="58"/>
      <c r="I76" s="58"/>
      <c r="J76" s="58"/>
      <c r="K76" s="59">
        <f>K75/100*97.5</f>
        <v>1214.3722499999999</v>
      </c>
    </row>
    <row r="77" spans="1:22" ht="15.75" x14ac:dyDescent="0.25">
      <c r="A77" s="1" t="s">
        <v>80</v>
      </c>
      <c r="D77" s="2" t="s">
        <v>32</v>
      </c>
      <c r="K77" s="62"/>
    </row>
    <row r="78" spans="1:22" ht="16.5" thickBot="1" x14ac:dyDescent="0.3">
      <c r="C78" s="1" t="s">
        <v>81</v>
      </c>
      <c r="K78" s="62"/>
    </row>
    <row r="79" spans="1:22" x14ac:dyDescent="0.2">
      <c r="A79" s="4" t="s">
        <v>0</v>
      </c>
      <c r="B79" s="64" t="s">
        <v>1</v>
      </c>
      <c r="C79" s="65" t="s">
        <v>2</v>
      </c>
      <c r="D79" s="65" t="s">
        <v>3</v>
      </c>
      <c r="E79" s="65" t="s">
        <v>4</v>
      </c>
      <c r="F79" s="65" t="s">
        <v>5</v>
      </c>
      <c r="G79" s="65" t="s">
        <v>6</v>
      </c>
      <c r="H79" s="65" t="s">
        <v>7</v>
      </c>
      <c r="I79" s="65" t="s">
        <v>8</v>
      </c>
      <c r="J79" s="65" t="s">
        <v>9</v>
      </c>
      <c r="K79" s="66" t="s">
        <v>10</v>
      </c>
    </row>
    <row r="80" spans="1:22" x14ac:dyDescent="0.2">
      <c r="A80" s="8" t="s">
        <v>34</v>
      </c>
      <c r="B80" s="9"/>
      <c r="C80" s="10">
        <v>15</v>
      </c>
      <c r="D80" s="10">
        <v>281</v>
      </c>
      <c r="E80" s="10">
        <v>274</v>
      </c>
      <c r="F80" s="10">
        <v>990</v>
      </c>
      <c r="G80" s="10">
        <v>103</v>
      </c>
      <c r="H80" s="10">
        <v>90</v>
      </c>
      <c r="I80" s="10">
        <v>21</v>
      </c>
      <c r="J80" s="10">
        <v>0</v>
      </c>
      <c r="K80" s="46">
        <f>SUM(B80:J80)</f>
        <v>1774</v>
      </c>
    </row>
    <row r="81" spans="1:22" x14ac:dyDescent="0.2">
      <c r="A81" s="8" t="s">
        <v>72</v>
      </c>
      <c r="B81" s="9"/>
      <c r="C81" s="77"/>
      <c r="D81" s="77"/>
      <c r="E81" s="77"/>
      <c r="F81" s="77"/>
      <c r="G81" s="77"/>
      <c r="H81" s="77"/>
      <c r="I81" s="77"/>
      <c r="J81" s="77"/>
      <c r="K81" s="48">
        <f>SUM(C81:J81)</f>
        <v>0</v>
      </c>
      <c r="M81" s="12" t="s">
        <v>44</v>
      </c>
      <c r="N81" s="12" t="s">
        <v>43</v>
      </c>
      <c r="O81" s="43"/>
      <c r="P81" s="12" t="s">
        <v>12</v>
      </c>
      <c r="Q81" s="15" t="s">
        <v>45</v>
      </c>
      <c r="R81" s="15" t="s">
        <v>43</v>
      </c>
      <c r="S81" s="43">
        <v>41958</v>
      </c>
    </row>
    <row r="82" spans="1:22" x14ac:dyDescent="0.2">
      <c r="A82" s="8" t="s">
        <v>83</v>
      </c>
      <c r="B82" s="9"/>
      <c r="C82" s="78"/>
      <c r="D82" s="78"/>
      <c r="E82" s="78"/>
      <c r="F82" s="78"/>
      <c r="G82" s="78"/>
      <c r="H82" s="78"/>
      <c r="I82" s="78"/>
      <c r="J82" s="78"/>
      <c r="K82" s="50">
        <f>SUM(B82:J82)</f>
        <v>0</v>
      </c>
      <c r="N82">
        <v>3</v>
      </c>
      <c r="O82">
        <v>3</v>
      </c>
      <c r="P82">
        <v>8</v>
      </c>
      <c r="Q82">
        <v>16</v>
      </c>
      <c r="R82">
        <v>1</v>
      </c>
      <c r="S82">
        <v>2</v>
      </c>
      <c r="T82">
        <v>0</v>
      </c>
      <c r="U82">
        <v>0</v>
      </c>
      <c r="V82">
        <f>SUM(N82:U82)</f>
        <v>33</v>
      </c>
    </row>
    <row r="83" spans="1:22" x14ac:dyDescent="0.2">
      <c r="A83" s="8" t="s">
        <v>84</v>
      </c>
      <c r="B83" s="9"/>
      <c r="C83" s="10">
        <f>N84</f>
        <v>3</v>
      </c>
      <c r="D83" s="10">
        <f t="shared" ref="D83:J83" si="54">O84</f>
        <v>3</v>
      </c>
      <c r="E83" s="10">
        <f t="shared" si="54"/>
        <v>8</v>
      </c>
      <c r="F83" s="10">
        <f t="shared" si="54"/>
        <v>16</v>
      </c>
      <c r="G83" s="10">
        <f t="shared" si="54"/>
        <v>1</v>
      </c>
      <c r="H83" s="10">
        <f t="shared" si="54"/>
        <v>2</v>
      </c>
      <c r="I83" s="10">
        <f t="shared" si="54"/>
        <v>0</v>
      </c>
      <c r="J83" s="10">
        <f t="shared" si="54"/>
        <v>0</v>
      </c>
      <c r="K83" s="46">
        <f>SUM(C83:J83)</f>
        <v>33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>
        <f>SUM(N83:U83)</f>
        <v>0</v>
      </c>
    </row>
    <row r="84" spans="1:22" x14ac:dyDescent="0.2">
      <c r="A84" s="8" t="s">
        <v>13</v>
      </c>
      <c r="B84" s="9"/>
      <c r="C84" s="80">
        <v>0</v>
      </c>
      <c r="D84" s="80">
        <v>85</v>
      </c>
      <c r="E84" s="80">
        <v>42</v>
      </c>
      <c r="F84" s="80">
        <v>54</v>
      </c>
      <c r="G84" s="80">
        <v>4</v>
      </c>
      <c r="H84" s="80">
        <v>2</v>
      </c>
      <c r="I84" s="80">
        <v>0</v>
      </c>
      <c r="J84" s="80">
        <v>0</v>
      </c>
      <c r="K84" s="46">
        <f>SUM(C84:J84)</f>
        <v>187</v>
      </c>
      <c r="L84" s="12"/>
      <c r="N84">
        <f>N82+N83</f>
        <v>3</v>
      </c>
      <c r="O84">
        <f t="shared" ref="O84" si="55">O82+O83</f>
        <v>3</v>
      </c>
      <c r="P84">
        <f t="shared" ref="P84" si="56">P82+P83</f>
        <v>8</v>
      </c>
      <c r="Q84">
        <f t="shared" ref="Q84" si="57">Q82+Q83</f>
        <v>16</v>
      </c>
      <c r="R84">
        <f t="shared" ref="R84" si="58">R82+R83</f>
        <v>1</v>
      </c>
      <c r="S84">
        <f t="shared" ref="S84" si="59">S82+S83</f>
        <v>2</v>
      </c>
      <c r="T84">
        <f t="shared" ref="T84" si="60">T82+T83</f>
        <v>0</v>
      </c>
      <c r="U84">
        <f t="shared" ref="U84" si="61">U82+U83</f>
        <v>0</v>
      </c>
    </row>
    <row r="85" spans="1:22" ht="22.5" x14ac:dyDescent="0.2">
      <c r="A85" s="8" t="s">
        <v>85</v>
      </c>
      <c r="B85" s="9"/>
      <c r="C85" s="14">
        <f>C80+C81+C82-C83-C84</f>
        <v>12</v>
      </c>
      <c r="D85" s="14">
        <f t="shared" ref="D85:J85" si="62">D80+D81+D82-D83-D84</f>
        <v>193</v>
      </c>
      <c r="E85" s="14">
        <f t="shared" si="62"/>
        <v>224</v>
      </c>
      <c r="F85" s="14">
        <f t="shared" si="62"/>
        <v>920</v>
      </c>
      <c r="G85" s="14">
        <f t="shared" si="62"/>
        <v>98</v>
      </c>
      <c r="H85" s="14">
        <f t="shared" si="62"/>
        <v>86</v>
      </c>
      <c r="I85" s="14">
        <f t="shared" si="62"/>
        <v>21</v>
      </c>
      <c r="J85" s="14">
        <f t="shared" si="62"/>
        <v>0</v>
      </c>
      <c r="K85" s="46">
        <f>K80+K81+K82-K83-K84</f>
        <v>1554</v>
      </c>
    </row>
    <row r="86" spans="1:22" ht="22.5" x14ac:dyDescent="0.2">
      <c r="A86" s="8" t="s">
        <v>86</v>
      </c>
      <c r="B86" s="9"/>
      <c r="C86" s="14">
        <v>0</v>
      </c>
      <c r="D86" s="14">
        <v>0</v>
      </c>
      <c r="E86" s="14">
        <v>2</v>
      </c>
      <c r="F86" s="14">
        <v>4</v>
      </c>
      <c r="G86" s="14">
        <v>0</v>
      </c>
      <c r="H86" s="14">
        <v>0</v>
      </c>
      <c r="I86" s="14">
        <v>0</v>
      </c>
      <c r="J86" s="14">
        <v>0</v>
      </c>
      <c r="K86" s="50">
        <f>SUM(C86:J86)</f>
        <v>6</v>
      </c>
    </row>
    <row r="87" spans="1:22" ht="33.75" x14ac:dyDescent="0.2">
      <c r="A87" s="8" t="s">
        <v>15</v>
      </c>
      <c r="B87" s="16">
        <f t="shared" ref="B87:I87" si="63">C86</f>
        <v>0</v>
      </c>
      <c r="C87" s="16">
        <f t="shared" si="63"/>
        <v>0</v>
      </c>
      <c r="D87" s="16">
        <f t="shared" si="63"/>
        <v>2</v>
      </c>
      <c r="E87" s="16">
        <f t="shared" si="63"/>
        <v>4</v>
      </c>
      <c r="F87" s="16">
        <f t="shared" si="63"/>
        <v>0</v>
      </c>
      <c r="G87" s="16">
        <f t="shared" si="63"/>
        <v>0</v>
      </c>
      <c r="H87" s="16">
        <f t="shared" si="63"/>
        <v>0</v>
      </c>
      <c r="I87" s="16">
        <f t="shared" si="63"/>
        <v>0</v>
      </c>
      <c r="J87" s="9"/>
      <c r="K87" s="50">
        <f>SUM(B87:I87)</f>
        <v>6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2.5" x14ac:dyDescent="0.2">
      <c r="A88" s="8" t="s">
        <v>16</v>
      </c>
      <c r="B88" s="18">
        <f t="shared" ref="B88:K88" si="64">SUM(B85-B86+B87)</f>
        <v>0</v>
      </c>
      <c r="C88" s="18">
        <f t="shared" si="64"/>
        <v>12</v>
      </c>
      <c r="D88" s="18">
        <f t="shared" si="64"/>
        <v>195</v>
      </c>
      <c r="E88" s="18">
        <f t="shared" si="64"/>
        <v>226</v>
      </c>
      <c r="F88" s="18">
        <f t="shared" si="64"/>
        <v>916</v>
      </c>
      <c r="G88" s="18">
        <f t="shared" si="64"/>
        <v>98</v>
      </c>
      <c r="H88" s="18">
        <f t="shared" si="64"/>
        <v>86</v>
      </c>
      <c r="I88" s="18">
        <f t="shared" si="64"/>
        <v>21</v>
      </c>
      <c r="J88" s="18">
        <f t="shared" si="64"/>
        <v>0</v>
      </c>
      <c r="K88" s="52">
        <f t="shared" si="64"/>
        <v>1554</v>
      </c>
    </row>
    <row r="89" spans="1:22" ht="22.5" x14ac:dyDescent="0.2">
      <c r="A89" s="8" t="s">
        <v>91</v>
      </c>
      <c r="B89" s="14">
        <v>0</v>
      </c>
      <c r="C89" s="20">
        <v>0</v>
      </c>
      <c r="D89" s="20">
        <v>0</v>
      </c>
      <c r="E89" s="20">
        <v>1</v>
      </c>
      <c r="F89" s="20">
        <v>2</v>
      </c>
      <c r="G89" s="20">
        <v>0</v>
      </c>
      <c r="H89" s="20">
        <v>0</v>
      </c>
      <c r="I89" s="20">
        <v>0</v>
      </c>
      <c r="J89" s="20">
        <f>0+0</f>
        <v>0</v>
      </c>
      <c r="K89" s="52">
        <f>SUM(B89:J89)</f>
        <v>3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22.5" x14ac:dyDescent="0.2">
      <c r="A90" s="8" t="s">
        <v>87</v>
      </c>
      <c r="B90" s="14">
        <v>0</v>
      </c>
      <c r="C90" s="14">
        <f>11+0</f>
        <v>11</v>
      </c>
      <c r="D90" s="14">
        <f>163+2</f>
        <v>165</v>
      </c>
      <c r="E90" s="14">
        <f>93+6</f>
        <v>99</v>
      </c>
      <c r="F90" s="14">
        <f>201+11</f>
        <v>212</v>
      </c>
      <c r="G90" s="14">
        <f>19+2</f>
        <v>21</v>
      </c>
      <c r="H90" s="14">
        <f>14+2</f>
        <v>16</v>
      </c>
      <c r="I90" s="14">
        <f>3+0</f>
        <v>3</v>
      </c>
      <c r="J90" s="14">
        <f>0+0</f>
        <v>0</v>
      </c>
      <c r="K90" s="52">
        <f>SUM(B90:J90)</f>
        <v>527</v>
      </c>
      <c r="M90" s="12" t="s">
        <v>93</v>
      </c>
      <c r="N90">
        <v>0</v>
      </c>
      <c r="O90">
        <v>0</v>
      </c>
      <c r="P90">
        <v>1</v>
      </c>
      <c r="Q90">
        <v>0</v>
      </c>
      <c r="R90">
        <v>1</v>
      </c>
      <c r="S90">
        <v>0</v>
      </c>
      <c r="T90">
        <v>0</v>
      </c>
      <c r="U90">
        <v>0</v>
      </c>
      <c r="V90">
        <f>SUM(N90:U90)</f>
        <v>2</v>
      </c>
    </row>
    <row r="91" spans="1:22" ht="22.5" x14ac:dyDescent="0.2">
      <c r="A91" s="8" t="s">
        <v>88</v>
      </c>
      <c r="B91" s="21">
        <v>0</v>
      </c>
      <c r="C91" s="21">
        <f>N92</f>
        <v>0</v>
      </c>
      <c r="D91" s="21">
        <f t="shared" ref="D91:J91" si="65">O92</f>
        <v>0</v>
      </c>
      <c r="E91" s="21">
        <f t="shared" si="65"/>
        <v>1</v>
      </c>
      <c r="F91" s="21">
        <f t="shared" si="65"/>
        <v>0</v>
      </c>
      <c r="G91" s="21">
        <f t="shared" si="65"/>
        <v>1</v>
      </c>
      <c r="H91" s="21">
        <f t="shared" si="65"/>
        <v>0</v>
      </c>
      <c r="I91" s="21">
        <f t="shared" si="65"/>
        <v>0</v>
      </c>
      <c r="J91" s="21">
        <f t="shared" si="65"/>
        <v>0</v>
      </c>
      <c r="K91" s="53">
        <f>SUM(B91:J91)</f>
        <v>2</v>
      </c>
      <c r="M91" s="12" t="s">
        <v>92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>
        <f>SUM(N91:U91)</f>
        <v>0</v>
      </c>
    </row>
    <row r="92" spans="1:22" x14ac:dyDescent="0.2">
      <c r="A92" s="8" t="s">
        <v>73</v>
      </c>
      <c r="B92" s="21">
        <v>0</v>
      </c>
      <c r="C92" s="21">
        <f t="shared" ref="C92:J92" si="66">C82</f>
        <v>0</v>
      </c>
      <c r="D92" s="21">
        <f t="shared" si="66"/>
        <v>0</v>
      </c>
      <c r="E92" s="21">
        <f t="shared" si="66"/>
        <v>0</v>
      </c>
      <c r="F92" s="21">
        <f t="shared" si="66"/>
        <v>0</v>
      </c>
      <c r="G92" s="21">
        <f t="shared" si="66"/>
        <v>0</v>
      </c>
      <c r="H92" s="21">
        <f t="shared" si="66"/>
        <v>0</v>
      </c>
      <c r="I92" s="21">
        <f t="shared" si="66"/>
        <v>0</v>
      </c>
      <c r="J92" s="21">
        <f t="shared" si="66"/>
        <v>0</v>
      </c>
      <c r="K92" s="53">
        <f>SUM(B92:J92)</f>
        <v>0</v>
      </c>
      <c r="N92">
        <f>N90+N91</f>
        <v>0</v>
      </c>
      <c r="O92">
        <f t="shared" ref="O92" si="67">O90+O91</f>
        <v>0</v>
      </c>
      <c r="P92">
        <f t="shared" ref="P92" si="68">P90+P91</f>
        <v>1</v>
      </c>
      <c r="Q92">
        <f t="shared" ref="Q92" si="69">Q90+Q91</f>
        <v>0</v>
      </c>
      <c r="R92">
        <f t="shared" ref="R92" si="70">R90+R91</f>
        <v>1</v>
      </c>
      <c r="S92">
        <f t="shared" ref="S92" si="71">S90+S91</f>
        <v>0</v>
      </c>
      <c r="T92">
        <f t="shared" ref="T92" si="72">T90+T91</f>
        <v>0</v>
      </c>
      <c r="U92">
        <f t="shared" ref="U92" si="73">U90+U91</f>
        <v>0</v>
      </c>
    </row>
    <row r="93" spans="1:22" x14ac:dyDescent="0.2">
      <c r="A93" s="8" t="s">
        <v>74</v>
      </c>
      <c r="B93" s="14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1</v>
      </c>
      <c r="I93" s="21">
        <v>0</v>
      </c>
      <c r="J93" s="21">
        <v>0</v>
      </c>
      <c r="K93" s="52">
        <f>SUM(B93:J93)</f>
        <v>1</v>
      </c>
    </row>
    <row r="94" spans="1:22" ht="22.5" x14ac:dyDescent="0.2">
      <c r="A94" s="8" t="s">
        <v>75</v>
      </c>
      <c r="B94" s="14">
        <f>SUM(B88-B89-B90-B91-B92-B93)</f>
        <v>0</v>
      </c>
      <c r="C94" s="14">
        <f t="shared" ref="C94:K94" si="74">SUM(C88-C89-C90-C91-C92-C93)</f>
        <v>1</v>
      </c>
      <c r="D94" s="14">
        <f t="shared" si="74"/>
        <v>30</v>
      </c>
      <c r="E94" s="14">
        <f t="shared" si="74"/>
        <v>125</v>
      </c>
      <c r="F94" s="14">
        <f t="shared" si="74"/>
        <v>702</v>
      </c>
      <c r="G94" s="14">
        <f t="shared" si="74"/>
        <v>76</v>
      </c>
      <c r="H94" s="14">
        <f t="shared" si="74"/>
        <v>69</v>
      </c>
      <c r="I94" s="14">
        <f t="shared" si="74"/>
        <v>18</v>
      </c>
      <c r="J94" s="14">
        <f t="shared" si="74"/>
        <v>0</v>
      </c>
      <c r="K94" s="52">
        <f t="shared" si="74"/>
        <v>1021</v>
      </c>
    </row>
    <row r="95" spans="1:22" ht="33.75" x14ac:dyDescent="0.2">
      <c r="A95" s="8" t="s">
        <v>76</v>
      </c>
      <c r="B95" s="24">
        <f>SUM((B89*0.75)+(B90*0.75)+(B91*0.5)+(B92*0.5)+ (B93*1.5)+B94)</f>
        <v>0</v>
      </c>
      <c r="C95" s="24">
        <f t="shared" ref="C95:J95" si="75">SUM((C89*0.75)+(C90*0.75)+(C91*0.5)+(C92*0.5)+ (C93*1.5)+C94)</f>
        <v>9.25</v>
      </c>
      <c r="D95" s="24">
        <f t="shared" si="75"/>
        <v>153.75</v>
      </c>
      <c r="E95" s="24">
        <f t="shared" si="75"/>
        <v>200.5</v>
      </c>
      <c r="F95" s="24">
        <f t="shared" si="75"/>
        <v>862.5</v>
      </c>
      <c r="G95" s="24">
        <f t="shared" si="75"/>
        <v>92.25</v>
      </c>
      <c r="H95" s="24">
        <f t="shared" si="75"/>
        <v>82.5</v>
      </c>
      <c r="I95" s="24">
        <f t="shared" si="75"/>
        <v>20.25</v>
      </c>
      <c r="J95" s="24">
        <f t="shared" si="75"/>
        <v>0</v>
      </c>
      <c r="K95" s="54">
        <f>SUM(B95:J95)</f>
        <v>1421</v>
      </c>
    </row>
    <row r="96" spans="1:22" x14ac:dyDescent="0.2">
      <c r="A96" s="8" t="s">
        <v>77</v>
      </c>
      <c r="B96" s="26" t="s">
        <v>21</v>
      </c>
      <c r="C96" s="26" t="s">
        <v>22</v>
      </c>
      <c r="D96" s="27" t="s">
        <v>23</v>
      </c>
      <c r="E96" s="27" t="s">
        <v>24</v>
      </c>
      <c r="F96" s="27">
        <v>1</v>
      </c>
      <c r="G96" s="27" t="s">
        <v>25</v>
      </c>
      <c r="H96" s="27" t="s">
        <v>26</v>
      </c>
      <c r="I96" s="27" t="s">
        <v>27</v>
      </c>
      <c r="J96" s="27" t="s">
        <v>28</v>
      </c>
      <c r="K96" s="50"/>
    </row>
    <row r="97" spans="1:22" x14ac:dyDescent="0.2">
      <c r="A97" s="8"/>
      <c r="B97" s="26"/>
      <c r="C97" s="26"/>
      <c r="D97" s="27"/>
      <c r="E97" s="27"/>
      <c r="F97" s="27"/>
      <c r="G97" s="27"/>
      <c r="H97" s="27"/>
      <c r="I97" s="27"/>
      <c r="J97" s="27"/>
      <c r="K97" s="50"/>
    </row>
    <row r="98" spans="1:22" ht="15" x14ac:dyDescent="0.25">
      <c r="A98" s="8" t="s">
        <v>78</v>
      </c>
      <c r="B98" s="28">
        <f>ROUND(B95/9*5,2)</f>
        <v>0</v>
      </c>
      <c r="C98" s="28">
        <f>ROUND(C95/9*6,2)</f>
        <v>6.17</v>
      </c>
      <c r="D98" s="28">
        <f>ROUND(D95/9*7,2)</f>
        <v>119.58</v>
      </c>
      <c r="E98" s="28">
        <f>ROUND(E95/9*8,2)</f>
        <v>178.22</v>
      </c>
      <c r="F98" s="28">
        <f>ROUND(F95*F96,2)</f>
        <v>862.5</v>
      </c>
      <c r="G98" s="28">
        <f>ROUND(G95/9*11,2)</f>
        <v>112.75</v>
      </c>
      <c r="H98" s="28">
        <f>ROUND(H95/9*13,2)</f>
        <v>119.17</v>
      </c>
      <c r="I98" s="28">
        <f>ROUND(I95/9*15,2)</f>
        <v>33.75</v>
      </c>
      <c r="J98" s="28">
        <f>ROUND(J95/9*18,2)</f>
        <v>0</v>
      </c>
      <c r="K98" s="54">
        <f>SUM(B98:J98)</f>
        <v>1432.14</v>
      </c>
    </row>
    <row r="99" spans="1:22" ht="23.25" x14ac:dyDescent="0.25">
      <c r="A99" s="8" t="s">
        <v>89</v>
      </c>
      <c r="B99" s="55"/>
      <c r="C99" s="51"/>
      <c r="D99" s="51"/>
      <c r="E99" s="51"/>
      <c r="F99" s="51"/>
      <c r="G99" s="51"/>
      <c r="H99" s="51"/>
      <c r="I99" s="51"/>
      <c r="J99" s="51"/>
      <c r="K99" s="56">
        <v>0</v>
      </c>
    </row>
    <row r="100" spans="1:22" ht="23.25" x14ac:dyDescent="0.25">
      <c r="A100" s="8" t="s">
        <v>79</v>
      </c>
      <c r="B100" s="55"/>
      <c r="C100" s="51"/>
      <c r="D100" s="51"/>
      <c r="E100" s="51"/>
      <c r="F100" s="51"/>
      <c r="G100" s="51"/>
      <c r="H100" s="51"/>
      <c r="I100" s="51"/>
      <c r="J100" s="51"/>
      <c r="K100" s="54">
        <f>SUM(K98+K99)</f>
        <v>1432.14</v>
      </c>
    </row>
    <row r="101" spans="1:22" ht="16.5" thickBot="1" x14ac:dyDescent="0.3">
      <c r="A101" s="34" t="s">
        <v>90</v>
      </c>
      <c r="B101" s="57"/>
      <c r="C101" s="58"/>
      <c r="D101" s="58"/>
      <c r="E101" s="58"/>
      <c r="F101" s="58"/>
      <c r="G101" s="58"/>
      <c r="H101" s="58"/>
      <c r="I101" s="58"/>
      <c r="J101" s="58"/>
      <c r="K101" s="59">
        <f>SUM(K100/100*97.5)</f>
        <v>1396.3365000000001</v>
      </c>
    </row>
    <row r="102" spans="1:22" ht="15.75" x14ac:dyDescent="0.25">
      <c r="A102" s="1" t="s">
        <v>80</v>
      </c>
      <c r="D102" s="2" t="s">
        <v>32</v>
      </c>
      <c r="K102" s="62"/>
    </row>
    <row r="103" spans="1:22" ht="16.5" thickBot="1" x14ac:dyDescent="0.3">
      <c r="D103" s="1" t="s">
        <v>58</v>
      </c>
      <c r="K103" s="62"/>
    </row>
    <row r="104" spans="1:22" x14ac:dyDescent="0.2">
      <c r="A104" s="4" t="s">
        <v>0</v>
      </c>
      <c r="B104" s="5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6" t="s">
        <v>6</v>
      </c>
      <c r="H104" s="6" t="s">
        <v>7</v>
      </c>
      <c r="I104" s="6" t="s">
        <v>8</v>
      </c>
      <c r="J104" s="6" t="s">
        <v>9</v>
      </c>
      <c r="K104" s="63" t="s">
        <v>10</v>
      </c>
    </row>
    <row r="105" spans="1:22" x14ac:dyDescent="0.2">
      <c r="A105" s="8" t="s">
        <v>34</v>
      </c>
      <c r="B105" s="67"/>
      <c r="C105" s="10">
        <v>279</v>
      </c>
      <c r="D105" s="10">
        <v>1278</v>
      </c>
      <c r="E105" s="10">
        <v>2952</v>
      </c>
      <c r="F105" s="10">
        <v>448</v>
      </c>
      <c r="G105" s="10">
        <v>46</v>
      </c>
      <c r="H105" s="10">
        <v>1</v>
      </c>
      <c r="I105" s="10">
        <v>0</v>
      </c>
      <c r="J105" s="10">
        <v>2</v>
      </c>
      <c r="K105" s="46">
        <f>SUM(B105:J105)</f>
        <v>5006</v>
      </c>
    </row>
    <row r="106" spans="1:22" x14ac:dyDescent="0.2">
      <c r="A106" s="8" t="s">
        <v>72</v>
      </c>
      <c r="B106" s="67"/>
      <c r="C106" s="68"/>
      <c r="D106" s="68"/>
      <c r="E106" s="68"/>
      <c r="F106" s="68"/>
      <c r="G106" s="68"/>
      <c r="H106" s="68"/>
      <c r="I106" s="68"/>
      <c r="J106" s="68"/>
      <c r="K106" s="46">
        <f>SUM(C106:J106)</f>
        <v>0</v>
      </c>
      <c r="M106" s="12" t="s">
        <v>44</v>
      </c>
      <c r="N106" s="12" t="s">
        <v>43</v>
      </c>
      <c r="O106" s="43"/>
      <c r="P106" s="12" t="s">
        <v>12</v>
      </c>
      <c r="Q106" s="15" t="s">
        <v>45</v>
      </c>
      <c r="R106" s="15" t="s">
        <v>43</v>
      </c>
      <c r="S106" s="43">
        <v>41958</v>
      </c>
    </row>
    <row r="107" spans="1:22" x14ac:dyDescent="0.2">
      <c r="A107" s="8" t="s">
        <v>83</v>
      </c>
      <c r="B107" s="67"/>
      <c r="C107" s="69"/>
      <c r="D107" s="69"/>
      <c r="E107" s="69"/>
      <c r="F107" s="69"/>
      <c r="G107" s="69"/>
      <c r="H107" s="69"/>
      <c r="I107" s="69"/>
      <c r="J107" s="69"/>
      <c r="K107" s="46">
        <f>SUM(B107:J107)</f>
        <v>0</v>
      </c>
      <c r="N107">
        <v>3</v>
      </c>
      <c r="O107">
        <v>22</v>
      </c>
      <c r="P107">
        <v>21</v>
      </c>
      <c r="Q107">
        <v>4</v>
      </c>
      <c r="R107">
        <v>0</v>
      </c>
      <c r="S107">
        <v>0</v>
      </c>
      <c r="T107">
        <v>0</v>
      </c>
      <c r="U107">
        <v>0</v>
      </c>
      <c r="V107">
        <f>SUM(N107:U107)</f>
        <v>50</v>
      </c>
    </row>
    <row r="108" spans="1:22" x14ac:dyDescent="0.2">
      <c r="A108" s="8" t="s">
        <v>84</v>
      </c>
      <c r="B108" s="67"/>
      <c r="C108" s="10">
        <f>N109</f>
        <v>4</v>
      </c>
      <c r="D108" s="10">
        <f t="shared" ref="D108:J108" si="76">O109</f>
        <v>23</v>
      </c>
      <c r="E108" s="10">
        <f t="shared" si="76"/>
        <v>23</v>
      </c>
      <c r="F108" s="10">
        <f t="shared" si="76"/>
        <v>4</v>
      </c>
      <c r="G108" s="10">
        <f t="shared" si="76"/>
        <v>0</v>
      </c>
      <c r="H108" s="10">
        <f t="shared" si="76"/>
        <v>0</v>
      </c>
      <c r="I108" s="10">
        <f t="shared" si="76"/>
        <v>0</v>
      </c>
      <c r="J108" s="10">
        <f t="shared" si="76"/>
        <v>0</v>
      </c>
      <c r="K108" s="46">
        <f>SUM(C108:J108)</f>
        <v>54</v>
      </c>
      <c r="N108" s="81">
        <v>1</v>
      </c>
      <c r="O108" s="81">
        <v>1</v>
      </c>
      <c r="P108" s="81">
        <v>2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>
        <f>SUM(N108:U108)</f>
        <v>4</v>
      </c>
    </row>
    <row r="109" spans="1:22" x14ac:dyDescent="0.2">
      <c r="A109" s="8" t="s">
        <v>13</v>
      </c>
      <c r="B109" s="67"/>
      <c r="C109" s="80">
        <v>134</v>
      </c>
      <c r="D109" s="80">
        <v>456</v>
      </c>
      <c r="E109" s="80">
        <v>584</v>
      </c>
      <c r="F109" s="80">
        <v>98</v>
      </c>
      <c r="G109" s="80">
        <v>15</v>
      </c>
      <c r="H109" s="80">
        <v>1</v>
      </c>
      <c r="I109" s="80">
        <v>0</v>
      </c>
      <c r="J109" s="80">
        <v>0</v>
      </c>
      <c r="K109" s="46">
        <f>SUM(C109:J109)</f>
        <v>1288</v>
      </c>
      <c r="L109" s="12"/>
      <c r="N109">
        <f>N107+N108</f>
        <v>4</v>
      </c>
      <c r="O109">
        <f t="shared" ref="O109" si="77">O107+O108</f>
        <v>23</v>
      </c>
      <c r="P109">
        <f t="shared" ref="P109" si="78">P107+P108</f>
        <v>23</v>
      </c>
      <c r="Q109">
        <f t="shared" ref="Q109" si="79">Q107+Q108</f>
        <v>4</v>
      </c>
      <c r="R109">
        <f t="shared" ref="R109" si="80">R107+R108</f>
        <v>0</v>
      </c>
      <c r="S109">
        <f t="shared" ref="S109" si="81">S107+S108</f>
        <v>0</v>
      </c>
      <c r="T109">
        <f t="shared" ref="T109" si="82">T107+T108</f>
        <v>0</v>
      </c>
      <c r="U109">
        <f t="shared" ref="U109" si="83">U107+U108</f>
        <v>0</v>
      </c>
    </row>
    <row r="110" spans="1:22" ht="22.5" x14ac:dyDescent="0.2">
      <c r="A110" s="8" t="s">
        <v>85</v>
      </c>
      <c r="B110" s="67"/>
      <c r="C110" s="79">
        <f>C105+C106+C107-C108-C109</f>
        <v>141</v>
      </c>
      <c r="D110" s="79">
        <f t="shared" ref="D110:J110" si="84">D105+D106+D107-D108-D109</f>
        <v>799</v>
      </c>
      <c r="E110" s="14">
        <f t="shared" si="84"/>
        <v>2345</v>
      </c>
      <c r="F110" s="79">
        <f t="shared" si="84"/>
        <v>346</v>
      </c>
      <c r="G110" s="79">
        <f t="shared" si="84"/>
        <v>31</v>
      </c>
      <c r="H110" s="79">
        <f t="shared" si="84"/>
        <v>0</v>
      </c>
      <c r="I110" s="79">
        <f t="shared" si="84"/>
        <v>0</v>
      </c>
      <c r="J110" s="79">
        <f t="shared" si="84"/>
        <v>2</v>
      </c>
      <c r="K110" s="46">
        <f>K105+K106+K107-K108-K109</f>
        <v>3664</v>
      </c>
    </row>
    <row r="111" spans="1:22" ht="22.5" x14ac:dyDescent="0.2">
      <c r="A111" s="8" t="s">
        <v>86</v>
      </c>
      <c r="B111" s="67"/>
      <c r="C111" s="14">
        <v>0</v>
      </c>
      <c r="D111" s="14">
        <v>3</v>
      </c>
      <c r="E111" s="14">
        <v>15</v>
      </c>
      <c r="F111" s="14">
        <v>6</v>
      </c>
      <c r="G111" s="14">
        <v>4</v>
      </c>
      <c r="H111" s="14">
        <v>0</v>
      </c>
      <c r="I111" s="14">
        <v>0</v>
      </c>
      <c r="J111" s="14">
        <v>1</v>
      </c>
      <c r="K111" s="46">
        <f>SUM(C111:J111)</f>
        <v>29</v>
      </c>
    </row>
    <row r="112" spans="1:22" ht="33.75" x14ac:dyDescent="0.2">
      <c r="A112" s="8" t="s">
        <v>15</v>
      </c>
      <c r="B112" s="14">
        <f t="shared" ref="B112:I112" si="85">C111</f>
        <v>0</v>
      </c>
      <c r="C112" s="14">
        <f t="shared" si="85"/>
        <v>3</v>
      </c>
      <c r="D112" s="14">
        <f t="shared" si="85"/>
        <v>15</v>
      </c>
      <c r="E112" s="14">
        <f t="shared" si="85"/>
        <v>6</v>
      </c>
      <c r="F112" s="14">
        <f t="shared" si="85"/>
        <v>4</v>
      </c>
      <c r="G112" s="14">
        <f t="shared" si="85"/>
        <v>0</v>
      </c>
      <c r="H112" s="14">
        <f t="shared" si="85"/>
        <v>0</v>
      </c>
      <c r="I112" s="14">
        <f t="shared" si="85"/>
        <v>1</v>
      </c>
      <c r="J112" s="67"/>
      <c r="K112" s="46">
        <f>SUM(B112:I112)</f>
        <v>29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22.5" x14ac:dyDescent="0.2">
      <c r="A113" s="8" t="s">
        <v>16</v>
      </c>
      <c r="B113" s="14">
        <f t="shared" ref="B113:K113" si="86">SUM(B110-B111+B112)</f>
        <v>0</v>
      </c>
      <c r="C113" s="14">
        <f t="shared" si="86"/>
        <v>144</v>
      </c>
      <c r="D113" s="14">
        <f t="shared" si="86"/>
        <v>811</v>
      </c>
      <c r="E113" s="14">
        <f t="shared" si="86"/>
        <v>2336</v>
      </c>
      <c r="F113" s="14">
        <f t="shared" si="86"/>
        <v>344</v>
      </c>
      <c r="G113" s="14">
        <f t="shared" si="86"/>
        <v>27</v>
      </c>
      <c r="H113" s="14">
        <f t="shared" si="86"/>
        <v>0</v>
      </c>
      <c r="I113" s="14">
        <f t="shared" si="86"/>
        <v>1</v>
      </c>
      <c r="J113" s="14">
        <f t="shared" si="86"/>
        <v>1</v>
      </c>
      <c r="K113" s="46">
        <f t="shared" si="86"/>
        <v>3664</v>
      </c>
    </row>
    <row r="114" spans="1:22" ht="22.5" x14ac:dyDescent="0.2">
      <c r="A114" s="8" t="s">
        <v>91</v>
      </c>
      <c r="B114" s="14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46">
        <f>SUM(B114:J114)</f>
        <v>0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22.5" x14ac:dyDescent="0.2">
      <c r="A115" s="8" t="s">
        <v>87</v>
      </c>
      <c r="B115" s="14">
        <v>0</v>
      </c>
      <c r="C115" s="14">
        <f>220+0</f>
        <v>220</v>
      </c>
      <c r="D115" s="14">
        <f>762+5</f>
        <v>767</v>
      </c>
      <c r="E115" s="14">
        <f>845+38</f>
        <v>883</v>
      </c>
      <c r="F115" s="14">
        <f>129+5</f>
        <v>134</v>
      </c>
      <c r="G115" s="14">
        <f>10+0</f>
        <v>10</v>
      </c>
      <c r="H115" s="14">
        <f>1+0</f>
        <v>1</v>
      </c>
      <c r="I115" s="14">
        <f>0+0</f>
        <v>0</v>
      </c>
      <c r="J115" s="14">
        <f>0+0</f>
        <v>0</v>
      </c>
      <c r="K115" s="46">
        <f>SUM(B115:J115)</f>
        <v>2015</v>
      </c>
      <c r="M115" s="12" t="s">
        <v>93</v>
      </c>
      <c r="N115">
        <v>0</v>
      </c>
      <c r="O115">
        <v>2</v>
      </c>
      <c r="P115">
        <v>1</v>
      </c>
      <c r="Q115">
        <v>0</v>
      </c>
      <c r="R115">
        <v>1</v>
      </c>
      <c r="S115">
        <v>0</v>
      </c>
      <c r="T115">
        <v>1</v>
      </c>
      <c r="U115">
        <v>0</v>
      </c>
      <c r="V115">
        <f>SUM(N115:U115)</f>
        <v>5</v>
      </c>
    </row>
    <row r="116" spans="1:22" ht="22.5" x14ac:dyDescent="0.2">
      <c r="A116" s="8" t="s">
        <v>88</v>
      </c>
      <c r="B116" s="14">
        <v>0</v>
      </c>
      <c r="C116" s="14">
        <f>N117</f>
        <v>0</v>
      </c>
      <c r="D116" s="14">
        <f t="shared" ref="D116:J116" si="87">O117</f>
        <v>2</v>
      </c>
      <c r="E116" s="14">
        <f t="shared" si="87"/>
        <v>1</v>
      </c>
      <c r="F116" s="14">
        <f t="shared" si="87"/>
        <v>0</v>
      </c>
      <c r="G116" s="14">
        <f t="shared" si="87"/>
        <v>1</v>
      </c>
      <c r="H116" s="14">
        <f t="shared" si="87"/>
        <v>0</v>
      </c>
      <c r="I116" s="14">
        <f t="shared" si="87"/>
        <v>1</v>
      </c>
      <c r="J116" s="14">
        <f t="shared" si="87"/>
        <v>0</v>
      </c>
      <c r="K116" s="46">
        <f>SUM(B116:J116)</f>
        <v>5</v>
      </c>
      <c r="M116" s="12" t="s">
        <v>92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>
        <f>SUM(N116:U116)</f>
        <v>0</v>
      </c>
    </row>
    <row r="117" spans="1:22" x14ac:dyDescent="0.2">
      <c r="A117" s="8" t="s">
        <v>73</v>
      </c>
      <c r="B117" s="14">
        <v>0</v>
      </c>
      <c r="C117" s="14">
        <f t="shared" ref="C117:J117" si="88">C107</f>
        <v>0</v>
      </c>
      <c r="D117" s="14">
        <f t="shared" si="88"/>
        <v>0</v>
      </c>
      <c r="E117" s="14">
        <f t="shared" si="88"/>
        <v>0</v>
      </c>
      <c r="F117" s="14">
        <f t="shared" si="88"/>
        <v>0</v>
      </c>
      <c r="G117" s="14">
        <f t="shared" si="88"/>
        <v>0</v>
      </c>
      <c r="H117" s="14">
        <f t="shared" si="88"/>
        <v>0</v>
      </c>
      <c r="I117" s="14">
        <f t="shared" si="88"/>
        <v>0</v>
      </c>
      <c r="J117" s="14">
        <f t="shared" si="88"/>
        <v>0</v>
      </c>
      <c r="K117" s="46">
        <f>SUM(B117:J117)</f>
        <v>0</v>
      </c>
      <c r="N117">
        <f>N115+N116</f>
        <v>0</v>
      </c>
      <c r="O117">
        <f t="shared" ref="O117" si="89">O115+O116</f>
        <v>2</v>
      </c>
      <c r="P117">
        <f t="shared" ref="P117" si="90">P115+P116</f>
        <v>1</v>
      </c>
      <c r="Q117">
        <f t="shared" ref="Q117" si="91">Q115+Q116</f>
        <v>0</v>
      </c>
      <c r="R117">
        <f t="shared" ref="R117" si="92">R115+R116</f>
        <v>1</v>
      </c>
      <c r="S117">
        <f t="shared" ref="S117" si="93">S115+S116</f>
        <v>0</v>
      </c>
      <c r="T117">
        <f t="shared" ref="T117" si="94">T115+T116</f>
        <v>1</v>
      </c>
      <c r="U117">
        <f t="shared" ref="U117" si="95">U115+U116</f>
        <v>0</v>
      </c>
    </row>
    <row r="118" spans="1:22" x14ac:dyDescent="0.2">
      <c r="A118" s="8" t="s">
        <v>74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46">
        <f>SUM(B118:J118)</f>
        <v>0</v>
      </c>
    </row>
    <row r="119" spans="1:22" ht="22.5" x14ac:dyDescent="0.2">
      <c r="A119" s="8" t="s">
        <v>75</v>
      </c>
      <c r="B119" s="14">
        <f>SUM(B113-B114-B115-B116-B117-B118)</f>
        <v>0</v>
      </c>
      <c r="C119" s="14">
        <f t="shared" ref="C119:K119" si="96">SUM(C113-C114-C115-C116-C117-C118)</f>
        <v>-76</v>
      </c>
      <c r="D119" s="14">
        <f t="shared" si="96"/>
        <v>42</v>
      </c>
      <c r="E119" s="14">
        <f t="shared" si="96"/>
        <v>1452</v>
      </c>
      <c r="F119" s="14">
        <f t="shared" si="96"/>
        <v>210</v>
      </c>
      <c r="G119" s="14">
        <f t="shared" si="96"/>
        <v>16</v>
      </c>
      <c r="H119" s="14">
        <f t="shared" si="96"/>
        <v>-1</v>
      </c>
      <c r="I119" s="14">
        <f t="shared" si="96"/>
        <v>0</v>
      </c>
      <c r="J119" s="14">
        <f t="shared" si="96"/>
        <v>1</v>
      </c>
      <c r="K119" s="46">
        <f t="shared" si="96"/>
        <v>1644</v>
      </c>
    </row>
    <row r="120" spans="1:22" ht="33.75" x14ac:dyDescent="0.2">
      <c r="A120" s="8" t="s">
        <v>76</v>
      </c>
      <c r="B120" s="14">
        <f>SUM((B114*0.75)+(B115*0.75)+(B116*0.5)+(B117*0.5)+ (B118*1.5)+B119)</f>
        <v>0</v>
      </c>
      <c r="C120" s="70">
        <f t="shared" ref="C120:J120" si="97">SUM((C114*0.75)+(C115*0.75)+(C116*0.5)+(C117*0.5)+ (C118*1.5)+C119)</f>
        <v>89</v>
      </c>
      <c r="D120" s="70">
        <f t="shared" si="97"/>
        <v>618.25</v>
      </c>
      <c r="E120" s="70">
        <f t="shared" si="97"/>
        <v>2114.75</v>
      </c>
      <c r="F120" s="70">
        <f t="shared" si="97"/>
        <v>310.5</v>
      </c>
      <c r="G120" s="70">
        <f t="shared" si="97"/>
        <v>24</v>
      </c>
      <c r="H120" s="70">
        <f t="shared" si="97"/>
        <v>-0.25</v>
      </c>
      <c r="I120" s="70">
        <f t="shared" si="97"/>
        <v>0.5</v>
      </c>
      <c r="J120" s="70">
        <f t="shared" si="97"/>
        <v>1</v>
      </c>
      <c r="K120" s="54">
        <f>SUM(B120:J120)</f>
        <v>3157.75</v>
      </c>
    </row>
    <row r="121" spans="1:22" x14ac:dyDescent="0.2">
      <c r="A121" s="8" t="s">
        <v>77</v>
      </c>
      <c r="B121" s="71" t="s">
        <v>21</v>
      </c>
      <c r="C121" s="71" t="s">
        <v>22</v>
      </c>
      <c r="D121" s="71" t="s">
        <v>23</v>
      </c>
      <c r="E121" s="71" t="s">
        <v>24</v>
      </c>
      <c r="F121" s="71">
        <v>1</v>
      </c>
      <c r="G121" s="71" t="s">
        <v>25</v>
      </c>
      <c r="H121" s="71" t="s">
        <v>26</v>
      </c>
      <c r="I121" s="71" t="s">
        <v>27</v>
      </c>
      <c r="J121" s="71" t="s">
        <v>28</v>
      </c>
      <c r="K121" s="46"/>
    </row>
    <row r="122" spans="1:22" x14ac:dyDescent="0.2">
      <c r="A122" s="8"/>
      <c r="B122" s="71"/>
      <c r="C122" s="71"/>
      <c r="D122" s="71"/>
      <c r="E122" s="71"/>
      <c r="F122" s="71"/>
      <c r="G122" s="71"/>
      <c r="H122" s="71"/>
      <c r="I122" s="71"/>
      <c r="J122" s="71"/>
      <c r="K122" s="46"/>
    </row>
    <row r="123" spans="1:22" ht="15" x14ac:dyDescent="0.25">
      <c r="A123" s="8" t="s">
        <v>78</v>
      </c>
      <c r="B123" s="72">
        <f>ROUND(B120/9*5,2)</f>
        <v>0</v>
      </c>
      <c r="C123" s="72">
        <f>ROUND(C120/9*6,2)</f>
        <v>59.33</v>
      </c>
      <c r="D123" s="72">
        <f>ROUND(D120/9*7,2)</f>
        <v>480.86</v>
      </c>
      <c r="E123" s="72">
        <f>ROUND(E120/9*8,2)</f>
        <v>1879.78</v>
      </c>
      <c r="F123" s="72">
        <f>ROUND(F120*F121,2)</f>
        <v>310.5</v>
      </c>
      <c r="G123" s="72">
        <f>ROUND(G120/9*11,2)</f>
        <v>29.33</v>
      </c>
      <c r="H123" s="72">
        <f>ROUND(H120/9*13,2)</f>
        <v>-0.36</v>
      </c>
      <c r="I123" s="72">
        <f>ROUND(I120/9*15,2)</f>
        <v>0.83</v>
      </c>
      <c r="J123" s="72">
        <f>ROUND(J120/9*18,2)</f>
        <v>2</v>
      </c>
      <c r="K123" s="54">
        <f>SUM(B123:J123)</f>
        <v>2762.27</v>
      </c>
    </row>
    <row r="124" spans="1:22" ht="23.25" x14ac:dyDescent="0.25">
      <c r="A124" s="8" t="s">
        <v>89</v>
      </c>
      <c r="B124" s="73"/>
      <c r="C124" s="74"/>
      <c r="D124" s="70"/>
      <c r="E124" s="70"/>
      <c r="F124" s="70"/>
      <c r="G124" s="70"/>
      <c r="H124" s="70"/>
      <c r="I124" s="70"/>
      <c r="J124" s="70"/>
      <c r="K124" s="46">
        <v>0</v>
      </c>
    </row>
    <row r="125" spans="1:22" ht="23.25" x14ac:dyDescent="0.25">
      <c r="A125" s="8" t="s">
        <v>79</v>
      </c>
      <c r="B125" s="73"/>
      <c r="C125" s="74"/>
      <c r="D125" s="70"/>
      <c r="E125" s="70"/>
      <c r="F125" s="70"/>
      <c r="G125" s="70"/>
      <c r="H125" s="70"/>
      <c r="I125" s="70"/>
      <c r="J125" s="70"/>
      <c r="K125" s="54">
        <f>SUM(K123+K124)</f>
        <v>2762.27</v>
      </c>
    </row>
    <row r="126" spans="1:22" ht="16.5" thickBot="1" x14ac:dyDescent="0.3">
      <c r="A126" s="34" t="s">
        <v>90</v>
      </c>
      <c r="B126" s="75"/>
      <c r="C126" s="76"/>
      <c r="D126" s="76"/>
      <c r="E126" s="76"/>
      <c r="F126" s="76"/>
      <c r="G126" s="76"/>
      <c r="H126" s="76"/>
      <c r="I126" s="76"/>
      <c r="J126" s="76"/>
      <c r="K126" s="59">
        <f>SUM(K125/100*97.5)</f>
        <v>2693.2132499999998</v>
      </c>
    </row>
    <row r="127" spans="1:22" ht="15.75" x14ac:dyDescent="0.25">
      <c r="A127" s="1" t="s">
        <v>80</v>
      </c>
      <c r="D127" s="2" t="s">
        <v>32</v>
      </c>
      <c r="K127" s="62"/>
    </row>
    <row r="128" spans="1:22" ht="16.5" thickBot="1" x14ac:dyDescent="0.3">
      <c r="C128" s="1" t="s">
        <v>82</v>
      </c>
      <c r="K128" s="62"/>
    </row>
    <row r="129" spans="1:12" x14ac:dyDescent="0.2">
      <c r="A129" s="4" t="s">
        <v>0</v>
      </c>
      <c r="B129" s="5" t="s">
        <v>1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3" t="s">
        <v>10</v>
      </c>
    </row>
    <row r="130" spans="1:12" x14ac:dyDescent="0.2">
      <c r="A130" s="8" t="s">
        <v>34</v>
      </c>
      <c r="B130" s="9"/>
      <c r="C130" s="10">
        <f t="shared" ref="C130:J130" si="98">C4-C30-C55-C80-C105</f>
        <v>1764</v>
      </c>
      <c r="D130" s="10">
        <f t="shared" si="98"/>
        <v>7107</v>
      </c>
      <c r="E130" s="10">
        <f t="shared" si="98"/>
        <v>13865</v>
      </c>
      <c r="F130" s="10">
        <f t="shared" si="98"/>
        <v>13232</v>
      </c>
      <c r="G130" s="10">
        <f t="shared" si="98"/>
        <v>6413</v>
      </c>
      <c r="H130" s="10">
        <f t="shared" si="98"/>
        <v>2622</v>
      </c>
      <c r="I130" s="10">
        <f t="shared" si="98"/>
        <v>3115</v>
      </c>
      <c r="J130" s="10">
        <f t="shared" si="98"/>
        <v>572</v>
      </c>
      <c r="K130" s="46">
        <f>SUM(B130:J130)</f>
        <v>48690</v>
      </c>
    </row>
    <row r="131" spans="1:12" x14ac:dyDescent="0.2">
      <c r="A131" s="8" t="s">
        <v>72</v>
      </c>
      <c r="B131" s="9"/>
      <c r="C131" s="77">
        <f t="shared" ref="C131:J131" si="99">C5-C32-C56-C81-C106</f>
        <v>0</v>
      </c>
      <c r="D131" s="77">
        <f t="shared" si="99"/>
        <v>0</v>
      </c>
      <c r="E131" s="77">
        <f t="shared" si="99"/>
        <v>0</v>
      </c>
      <c r="F131" s="77">
        <f t="shared" si="99"/>
        <v>0</v>
      </c>
      <c r="G131" s="77">
        <f t="shared" si="99"/>
        <v>0</v>
      </c>
      <c r="H131" s="77">
        <f t="shared" si="99"/>
        <v>0</v>
      </c>
      <c r="I131" s="77">
        <f t="shared" si="99"/>
        <v>0</v>
      </c>
      <c r="J131" s="77">
        <f t="shared" si="99"/>
        <v>0</v>
      </c>
      <c r="K131" s="48">
        <f>SUM(C131:J131)</f>
        <v>0</v>
      </c>
    </row>
    <row r="132" spans="1:12" x14ac:dyDescent="0.2">
      <c r="A132" s="8" t="s">
        <v>83</v>
      </c>
      <c r="B132" s="9"/>
      <c r="C132" s="77">
        <f t="shared" ref="C132:J134" si="100">C6-C32-C57-C82-C107</f>
        <v>0</v>
      </c>
      <c r="D132" s="77">
        <f t="shared" si="100"/>
        <v>0</v>
      </c>
      <c r="E132" s="77">
        <f t="shared" si="100"/>
        <v>0</v>
      </c>
      <c r="F132" s="77">
        <f t="shared" si="100"/>
        <v>0</v>
      </c>
      <c r="G132" s="77">
        <f t="shared" si="100"/>
        <v>0</v>
      </c>
      <c r="H132" s="77">
        <f t="shared" si="100"/>
        <v>0</v>
      </c>
      <c r="I132" s="77">
        <f t="shared" si="100"/>
        <v>0</v>
      </c>
      <c r="J132" s="77">
        <f t="shared" si="100"/>
        <v>0</v>
      </c>
      <c r="K132" s="50">
        <f>SUM(B132:J132)</f>
        <v>0</v>
      </c>
    </row>
    <row r="133" spans="1:12" x14ac:dyDescent="0.2">
      <c r="A133" s="8" t="s">
        <v>84</v>
      </c>
      <c r="B133" s="9"/>
      <c r="C133" s="77">
        <f t="shared" si="100"/>
        <v>415</v>
      </c>
      <c r="D133" s="77">
        <f t="shared" si="100"/>
        <v>689</v>
      </c>
      <c r="E133" s="77">
        <f t="shared" si="100"/>
        <v>1100</v>
      </c>
      <c r="F133" s="77">
        <f t="shared" si="100"/>
        <v>1761</v>
      </c>
      <c r="G133" s="77">
        <f t="shared" si="100"/>
        <v>1027</v>
      </c>
      <c r="H133" s="77">
        <f t="shared" si="100"/>
        <v>238</v>
      </c>
      <c r="I133" s="77">
        <f t="shared" si="100"/>
        <v>237</v>
      </c>
      <c r="J133" s="77">
        <f t="shared" si="100"/>
        <v>206</v>
      </c>
      <c r="K133" s="46">
        <f>SUM(C133:J133)</f>
        <v>5673</v>
      </c>
    </row>
    <row r="134" spans="1:12" x14ac:dyDescent="0.2">
      <c r="A134" s="8" t="s">
        <v>13</v>
      </c>
      <c r="B134" s="9"/>
      <c r="C134" s="77">
        <f t="shared" si="100"/>
        <v>318</v>
      </c>
      <c r="D134" s="77">
        <f t="shared" si="100"/>
        <v>1681</v>
      </c>
      <c r="E134" s="77">
        <f t="shared" si="100"/>
        <v>2044</v>
      </c>
      <c r="F134" s="77">
        <f t="shared" si="100"/>
        <v>776</v>
      </c>
      <c r="G134" s="77">
        <f t="shared" si="100"/>
        <v>224</v>
      </c>
      <c r="H134" s="77">
        <f t="shared" si="100"/>
        <v>24</v>
      </c>
      <c r="I134" s="77">
        <f t="shared" si="100"/>
        <v>15</v>
      </c>
      <c r="J134" s="77">
        <f t="shared" si="100"/>
        <v>1</v>
      </c>
      <c r="K134" s="46">
        <f>SUM(C134:J134)</f>
        <v>5083</v>
      </c>
      <c r="L134" s="12"/>
    </row>
    <row r="135" spans="1:12" ht="22.5" x14ac:dyDescent="0.2">
      <c r="A135" s="8" t="s">
        <v>85</v>
      </c>
      <c r="B135" s="9"/>
      <c r="C135" s="14">
        <f>C130+C131+C132-C133-C134</f>
        <v>1031</v>
      </c>
      <c r="D135" s="14">
        <f t="shared" ref="D135:J135" si="101">D130+D131+D132-D133-D134</f>
        <v>4737</v>
      </c>
      <c r="E135" s="14">
        <f t="shared" si="101"/>
        <v>10721</v>
      </c>
      <c r="F135" s="14">
        <f t="shared" si="101"/>
        <v>10695</v>
      </c>
      <c r="G135" s="14">
        <f t="shared" si="101"/>
        <v>5162</v>
      </c>
      <c r="H135" s="14">
        <f t="shared" si="101"/>
        <v>2360</v>
      </c>
      <c r="I135" s="14">
        <f t="shared" si="101"/>
        <v>2863</v>
      </c>
      <c r="J135" s="14">
        <f t="shared" si="101"/>
        <v>365</v>
      </c>
      <c r="K135" s="46">
        <f>K130+K131+K132-K133-K134</f>
        <v>37934</v>
      </c>
    </row>
    <row r="136" spans="1:12" ht="22.5" x14ac:dyDescent="0.2">
      <c r="A136" s="8" t="s">
        <v>86</v>
      </c>
      <c r="B136" s="9"/>
      <c r="C136" s="14">
        <f t="shared" ref="C136:J136" si="102">C10-C36-C61-C86-C111</f>
        <v>0</v>
      </c>
      <c r="D136" s="14">
        <f t="shared" si="102"/>
        <v>17</v>
      </c>
      <c r="E136" s="14">
        <f t="shared" si="102"/>
        <v>47</v>
      </c>
      <c r="F136" s="14">
        <f t="shared" si="102"/>
        <v>51</v>
      </c>
      <c r="G136" s="14">
        <f t="shared" si="102"/>
        <v>25</v>
      </c>
      <c r="H136" s="14">
        <f t="shared" si="102"/>
        <v>12</v>
      </c>
      <c r="I136" s="14">
        <f t="shared" si="102"/>
        <v>14</v>
      </c>
      <c r="J136" s="14">
        <f t="shared" si="102"/>
        <v>6</v>
      </c>
      <c r="K136" s="50">
        <f>SUM(C136:J136)</f>
        <v>172</v>
      </c>
    </row>
    <row r="137" spans="1:12" ht="33.75" x14ac:dyDescent="0.2">
      <c r="A137" s="8" t="s">
        <v>15</v>
      </c>
      <c r="B137" s="16">
        <f t="shared" ref="B137:I137" si="103">C136</f>
        <v>0</v>
      </c>
      <c r="C137" s="16">
        <f t="shared" si="103"/>
        <v>17</v>
      </c>
      <c r="D137" s="16">
        <f t="shared" si="103"/>
        <v>47</v>
      </c>
      <c r="E137" s="16">
        <f t="shared" si="103"/>
        <v>51</v>
      </c>
      <c r="F137" s="16">
        <f t="shared" si="103"/>
        <v>25</v>
      </c>
      <c r="G137" s="16">
        <f t="shared" si="103"/>
        <v>12</v>
      </c>
      <c r="H137" s="16">
        <f t="shared" si="103"/>
        <v>14</v>
      </c>
      <c r="I137" s="16">
        <f t="shared" si="103"/>
        <v>6</v>
      </c>
      <c r="J137" s="9"/>
      <c r="K137" s="50">
        <f>SUM(B137:I137)</f>
        <v>172</v>
      </c>
    </row>
    <row r="138" spans="1:12" ht="22.5" x14ac:dyDescent="0.2">
      <c r="A138" s="8" t="s">
        <v>16</v>
      </c>
      <c r="B138" s="18">
        <f t="shared" ref="B138:K138" si="104">SUM(B135-B136+B137)</f>
        <v>0</v>
      </c>
      <c r="C138" s="18">
        <f t="shared" si="104"/>
        <v>1048</v>
      </c>
      <c r="D138" s="18">
        <f t="shared" si="104"/>
        <v>4767</v>
      </c>
      <c r="E138" s="18">
        <f t="shared" si="104"/>
        <v>10725</v>
      </c>
      <c r="F138" s="18">
        <f t="shared" si="104"/>
        <v>10669</v>
      </c>
      <c r="G138" s="18">
        <f t="shared" si="104"/>
        <v>5149</v>
      </c>
      <c r="H138" s="18">
        <f t="shared" si="104"/>
        <v>2362</v>
      </c>
      <c r="I138" s="18">
        <f t="shared" si="104"/>
        <v>2855</v>
      </c>
      <c r="J138" s="18">
        <f t="shared" si="104"/>
        <v>359</v>
      </c>
      <c r="K138" s="52">
        <f t="shared" si="104"/>
        <v>37934</v>
      </c>
    </row>
    <row r="139" spans="1:12" ht="22.5" x14ac:dyDescent="0.2">
      <c r="A139" s="8" t="s">
        <v>91</v>
      </c>
      <c r="B139" s="14">
        <f>B13-B39-B64-B89-B114</f>
        <v>0</v>
      </c>
      <c r="C139" s="14">
        <f t="shared" ref="C139:J139" si="105">C13-C39-C64-C89-C114</f>
        <v>0</v>
      </c>
      <c r="D139" s="14">
        <f t="shared" si="105"/>
        <v>5</v>
      </c>
      <c r="E139" s="14">
        <f t="shared" si="105"/>
        <v>14</v>
      </c>
      <c r="F139" s="14">
        <f t="shared" si="105"/>
        <v>27</v>
      </c>
      <c r="G139" s="14">
        <f t="shared" si="105"/>
        <v>13</v>
      </c>
      <c r="H139" s="14">
        <f t="shared" si="105"/>
        <v>7</v>
      </c>
      <c r="I139" s="14">
        <f t="shared" si="105"/>
        <v>13</v>
      </c>
      <c r="J139" s="14">
        <f t="shared" si="105"/>
        <v>2</v>
      </c>
      <c r="K139" s="52">
        <f>SUM(B139:J139)</f>
        <v>81</v>
      </c>
    </row>
    <row r="140" spans="1:12" ht="22.5" x14ac:dyDescent="0.2">
      <c r="A140" s="8" t="s">
        <v>87</v>
      </c>
      <c r="B140" s="14">
        <f t="shared" ref="B140:J141" si="106">B14-B40-B65-B90-B115</f>
        <v>0</v>
      </c>
      <c r="C140" s="14">
        <f t="shared" si="106"/>
        <v>881</v>
      </c>
      <c r="D140" s="14">
        <f t="shared" si="106"/>
        <v>3468</v>
      </c>
      <c r="E140" s="14">
        <f t="shared" si="106"/>
        <v>4296</v>
      </c>
      <c r="F140" s="14">
        <f t="shared" si="106"/>
        <v>3513</v>
      </c>
      <c r="G140" s="14">
        <f t="shared" si="106"/>
        <v>1497</v>
      </c>
      <c r="H140" s="14">
        <f t="shared" si="106"/>
        <v>550</v>
      </c>
      <c r="I140" s="14">
        <f t="shared" si="106"/>
        <v>476</v>
      </c>
      <c r="J140" s="14">
        <f t="shared" si="106"/>
        <v>28</v>
      </c>
      <c r="K140" s="52">
        <f>SUM(B140:J140)</f>
        <v>14709</v>
      </c>
    </row>
    <row r="141" spans="1:12" ht="22.5" x14ac:dyDescent="0.2">
      <c r="A141" s="8" t="s">
        <v>88</v>
      </c>
      <c r="B141" s="14">
        <f t="shared" si="106"/>
        <v>0</v>
      </c>
      <c r="C141" s="14">
        <f t="shared" si="106"/>
        <v>2</v>
      </c>
      <c r="D141" s="14">
        <f t="shared" si="106"/>
        <v>9</v>
      </c>
      <c r="E141" s="14">
        <f t="shared" si="106"/>
        <v>21</v>
      </c>
      <c r="F141" s="14">
        <f t="shared" si="106"/>
        <v>31</v>
      </c>
      <c r="G141" s="14">
        <f t="shared" si="106"/>
        <v>17</v>
      </c>
      <c r="H141" s="14">
        <f t="shared" si="106"/>
        <v>14</v>
      </c>
      <c r="I141" s="14">
        <f t="shared" si="106"/>
        <v>28</v>
      </c>
      <c r="J141" s="14">
        <f t="shared" si="106"/>
        <v>16</v>
      </c>
      <c r="K141" s="53">
        <f>SUM(B141:J141)</f>
        <v>138</v>
      </c>
    </row>
    <row r="142" spans="1:12" x14ac:dyDescent="0.2">
      <c r="A142" s="8" t="s">
        <v>73</v>
      </c>
      <c r="B142" s="21">
        <v>0</v>
      </c>
      <c r="C142" s="21">
        <f t="shared" ref="C142:J142" si="107">C132</f>
        <v>0</v>
      </c>
      <c r="D142" s="21">
        <f t="shared" si="107"/>
        <v>0</v>
      </c>
      <c r="E142" s="21">
        <f t="shared" si="107"/>
        <v>0</v>
      </c>
      <c r="F142" s="21">
        <f t="shared" si="107"/>
        <v>0</v>
      </c>
      <c r="G142" s="21">
        <f t="shared" si="107"/>
        <v>0</v>
      </c>
      <c r="H142" s="21">
        <f t="shared" si="107"/>
        <v>0</v>
      </c>
      <c r="I142" s="21">
        <f t="shared" si="107"/>
        <v>0</v>
      </c>
      <c r="J142" s="21">
        <f t="shared" si="107"/>
        <v>0</v>
      </c>
      <c r="K142" s="53">
        <f>SUM(B142:J142)</f>
        <v>0</v>
      </c>
    </row>
    <row r="143" spans="1:12" x14ac:dyDescent="0.2">
      <c r="A143" s="8" t="s">
        <v>74</v>
      </c>
      <c r="B143" s="14">
        <f t="shared" ref="B143:J143" si="108">B17-B43-B68-B93-B118</f>
        <v>0</v>
      </c>
      <c r="C143" s="14">
        <f t="shared" si="108"/>
        <v>3</v>
      </c>
      <c r="D143" s="14">
        <f t="shared" si="108"/>
        <v>13</v>
      </c>
      <c r="E143" s="14">
        <f t="shared" si="108"/>
        <v>14</v>
      </c>
      <c r="F143" s="14">
        <f t="shared" si="108"/>
        <v>16</v>
      </c>
      <c r="G143" s="14">
        <f t="shared" si="108"/>
        <v>9</v>
      </c>
      <c r="H143" s="14">
        <f t="shared" si="108"/>
        <v>1</v>
      </c>
      <c r="I143" s="14">
        <f t="shared" si="108"/>
        <v>5</v>
      </c>
      <c r="J143" s="14">
        <f t="shared" si="108"/>
        <v>1</v>
      </c>
      <c r="K143" s="52">
        <f>SUM(B143:J143)</f>
        <v>62</v>
      </c>
    </row>
    <row r="144" spans="1:12" ht="22.5" x14ac:dyDescent="0.2">
      <c r="A144" s="8" t="s">
        <v>75</v>
      </c>
      <c r="B144" s="14">
        <f>SUM(B138-B139-B140-B141-B142-B143)</f>
        <v>0</v>
      </c>
      <c r="C144" s="14">
        <f t="shared" ref="C144:K144" si="109">SUM(C138-C139-C140-C141-C142-C143)</f>
        <v>162</v>
      </c>
      <c r="D144" s="14">
        <f t="shared" si="109"/>
        <v>1272</v>
      </c>
      <c r="E144" s="14">
        <f t="shared" si="109"/>
        <v>6380</v>
      </c>
      <c r="F144" s="14">
        <f t="shared" si="109"/>
        <v>7082</v>
      </c>
      <c r="G144" s="14">
        <f t="shared" si="109"/>
        <v>3613</v>
      </c>
      <c r="H144" s="14">
        <f t="shared" si="109"/>
        <v>1790</v>
      </c>
      <c r="I144" s="14">
        <f t="shared" si="109"/>
        <v>2333</v>
      </c>
      <c r="J144" s="14">
        <f t="shared" si="109"/>
        <v>312</v>
      </c>
      <c r="K144" s="52">
        <f t="shared" si="109"/>
        <v>22944</v>
      </c>
    </row>
    <row r="145" spans="1:11" ht="33.75" x14ac:dyDescent="0.2">
      <c r="A145" s="8" t="s">
        <v>76</v>
      </c>
      <c r="B145" s="24">
        <f>SUM((B139*0.75)+(B140*0.75)+(B141*0.5)+(B142*0.5)+ (B143*1.5)+B144)</f>
        <v>0</v>
      </c>
      <c r="C145" s="24">
        <f t="shared" ref="C145:J145" si="110">SUM((C139*0.75)+(C140*0.75)+(C141*0.5)+(C142*0.5)+ (C143*1.5)+C144)</f>
        <v>828.25</v>
      </c>
      <c r="D145" s="24">
        <f t="shared" si="110"/>
        <v>3900.75</v>
      </c>
      <c r="E145" s="24">
        <f t="shared" si="110"/>
        <v>9644</v>
      </c>
      <c r="F145" s="24">
        <f t="shared" si="110"/>
        <v>9776.5</v>
      </c>
      <c r="G145" s="24">
        <f t="shared" si="110"/>
        <v>4767.5</v>
      </c>
      <c r="H145" s="24">
        <f t="shared" si="110"/>
        <v>2216.25</v>
      </c>
      <c r="I145" s="24">
        <f t="shared" si="110"/>
        <v>2721.25</v>
      </c>
      <c r="J145" s="24">
        <f t="shared" si="110"/>
        <v>344</v>
      </c>
      <c r="K145" s="54">
        <f>SUM(B145:J145)</f>
        <v>34198.5</v>
      </c>
    </row>
    <row r="146" spans="1:11" x14ac:dyDescent="0.2">
      <c r="A146" s="8" t="s">
        <v>77</v>
      </c>
      <c r="B146" s="26" t="s">
        <v>21</v>
      </c>
      <c r="C146" s="26" t="s">
        <v>22</v>
      </c>
      <c r="D146" s="27" t="s">
        <v>23</v>
      </c>
      <c r="E146" s="27" t="s">
        <v>24</v>
      </c>
      <c r="F146" s="27">
        <v>1</v>
      </c>
      <c r="G146" s="27" t="s">
        <v>25</v>
      </c>
      <c r="H146" s="27" t="s">
        <v>26</v>
      </c>
      <c r="I146" s="27" t="s">
        <v>27</v>
      </c>
      <c r="J146" s="27" t="s">
        <v>28</v>
      </c>
      <c r="K146" s="50"/>
    </row>
    <row r="147" spans="1:11" x14ac:dyDescent="0.2">
      <c r="A147" s="8"/>
      <c r="B147" s="26"/>
      <c r="C147" s="26"/>
      <c r="D147" s="27"/>
      <c r="E147" s="27"/>
      <c r="F147" s="27"/>
      <c r="G147" s="27"/>
      <c r="H147" s="27"/>
      <c r="I147" s="27"/>
      <c r="J147" s="27"/>
      <c r="K147" s="50"/>
    </row>
    <row r="148" spans="1:11" ht="15" x14ac:dyDescent="0.25">
      <c r="A148" s="8" t="s">
        <v>78</v>
      </c>
      <c r="B148" s="28">
        <f>ROUND(B145/9*5,2)</f>
        <v>0</v>
      </c>
      <c r="C148" s="28">
        <f>ROUND(C145/9*6,2)</f>
        <v>552.16999999999996</v>
      </c>
      <c r="D148" s="28">
        <f>ROUND(D145/9*7,2)</f>
        <v>3033.92</v>
      </c>
      <c r="E148" s="28">
        <f>ROUND(E145/9*8,2)</f>
        <v>8572.44</v>
      </c>
      <c r="F148" s="28">
        <f>ROUND(F145*F146,2)</f>
        <v>9776.5</v>
      </c>
      <c r="G148" s="28">
        <f>ROUND(G145/9*11,2)</f>
        <v>5826.94</v>
      </c>
      <c r="H148" s="28">
        <f>ROUND(H145/9*13,2)</f>
        <v>3201.25</v>
      </c>
      <c r="I148" s="28">
        <f>ROUND(I145/9*15,2)</f>
        <v>4535.42</v>
      </c>
      <c r="J148" s="28">
        <f>ROUND(J145/9*18,2)</f>
        <v>688</v>
      </c>
      <c r="K148" s="54">
        <f>SUM(B148:J148)</f>
        <v>36186.639999999999</v>
      </c>
    </row>
    <row r="149" spans="1:11" ht="23.25" x14ac:dyDescent="0.25">
      <c r="A149" s="8" t="s">
        <v>89</v>
      </c>
      <c r="B149" s="55"/>
      <c r="C149" s="51"/>
      <c r="D149" s="51"/>
      <c r="E149" s="51"/>
      <c r="F149" s="51"/>
      <c r="G149" s="51"/>
      <c r="H149" s="51"/>
      <c r="I149" s="51"/>
      <c r="J149" s="51"/>
      <c r="K149" s="56">
        <v>0</v>
      </c>
    </row>
    <row r="150" spans="1:11" ht="23.25" x14ac:dyDescent="0.25">
      <c r="A150" s="8" t="s">
        <v>79</v>
      </c>
      <c r="B150" s="55"/>
      <c r="C150" s="51"/>
      <c r="D150" s="51"/>
      <c r="E150" s="51"/>
      <c r="F150" s="51"/>
      <c r="G150" s="51"/>
      <c r="H150" s="51"/>
      <c r="I150" s="51"/>
      <c r="J150" s="51"/>
      <c r="K150" s="54">
        <f>SUM(K148+K149)</f>
        <v>36186.639999999999</v>
      </c>
    </row>
    <row r="151" spans="1:11" ht="16.5" thickBot="1" x14ac:dyDescent="0.3">
      <c r="A151" s="34" t="s">
        <v>90</v>
      </c>
      <c r="B151" s="57"/>
      <c r="C151" s="58"/>
      <c r="D151" s="58"/>
      <c r="E151" s="58"/>
      <c r="F151" s="58"/>
      <c r="G151" s="58"/>
      <c r="H151" s="58"/>
      <c r="I151" s="58"/>
      <c r="J151" s="58"/>
      <c r="K151" s="59">
        <f>SUM(K150/100*97.5)</f>
        <v>35281.974000000002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opLeftCell="A10" zoomScaleNormal="100" workbookViewId="0">
      <selection activeCell="M113" sqref="M113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7.85546875" customWidth="1"/>
    <col min="11" max="11" width="9.85546875" customWidth="1"/>
    <col min="12" max="12" width="9.28515625" bestFit="1" customWidth="1"/>
    <col min="13" max="13" width="10.28515625" bestFit="1" customWidth="1"/>
  </cols>
  <sheetData>
    <row r="1" spans="1:22" ht="14.45" customHeight="1" x14ac:dyDescent="0.25">
      <c r="A1" s="1" t="s">
        <v>70</v>
      </c>
      <c r="D1" s="2" t="s">
        <v>32</v>
      </c>
    </row>
    <row r="2" spans="1:22" ht="16.149999999999999" customHeight="1" thickBot="1" x14ac:dyDescent="0.3">
      <c r="C2" s="1" t="s">
        <v>71</v>
      </c>
    </row>
    <row r="3" spans="1:22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2" ht="13.15" customHeight="1" x14ac:dyDescent="0.2">
      <c r="A4" s="8" t="s">
        <v>34</v>
      </c>
      <c r="B4" s="45"/>
      <c r="C4" s="10">
        <v>2440</v>
      </c>
      <c r="D4" s="10">
        <v>9173</v>
      </c>
      <c r="E4" s="10">
        <v>18801</v>
      </c>
      <c r="F4" s="10">
        <v>15712</v>
      </c>
      <c r="G4" s="10">
        <v>6848</v>
      </c>
      <c r="H4" s="10">
        <v>2792</v>
      </c>
      <c r="I4" s="10">
        <v>3216</v>
      </c>
      <c r="J4" s="10">
        <v>579</v>
      </c>
      <c r="K4" s="46">
        <f>SUM(B4:J4)</f>
        <v>59561</v>
      </c>
    </row>
    <row r="5" spans="1:22" ht="11.45" customHeight="1" x14ac:dyDescent="0.2">
      <c r="A5" s="8" t="s">
        <v>72</v>
      </c>
      <c r="B5" s="45"/>
      <c r="C5" s="77">
        <v>3</v>
      </c>
      <c r="D5" s="77">
        <v>13</v>
      </c>
      <c r="E5" s="77">
        <v>26</v>
      </c>
      <c r="F5" s="77">
        <v>22</v>
      </c>
      <c r="G5" s="77">
        <v>10</v>
      </c>
      <c r="H5" s="77">
        <v>4</v>
      </c>
      <c r="I5" s="77">
        <v>4</v>
      </c>
      <c r="J5" s="77">
        <v>1</v>
      </c>
      <c r="K5" s="48">
        <f>SUM(C5:J5)</f>
        <v>83</v>
      </c>
    </row>
    <row r="6" spans="1:22" ht="11.45" customHeight="1" x14ac:dyDescent="0.2">
      <c r="A6" s="8" t="s">
        <v>83</v>
      </c>
      <c r="B6" s="45"/>
      <c r="C6" s="78">
        <v>28</v>
      </c>
      <c r="D6" s="78">
        <v>107</v>
      </c>
      <c r="E6" s="78">
        <v>221</v>
      </c>
      <c r="F6" s="78">
        <v>185</v>
      </c>
      <c r="G6" s="78">
        <v>80</v>
      </c>
      <c r="H6" s="78">
        <v>33</v>
      </c>
      <c r="I6" s="78">
        <v>38</v>
      </c>
      <c r="J6" s="78">
        <v>7</v>
      </c>
      <c r="K6" s="50">
        <f>SUM(B6:J6)</f>
        <v>699</v>
      </c>
    </row>
    <row r="7" spans="1:22" ht="12" customHeight="1" x14ac:dyDescent="0.2">
      <c r="A7" s="8" t="s">
        <v>84</v>
      </c>
      <c r="B7" s="45"/>
      <c r="C7" s="10">
        <f>N12</f>
        <v>468</v>
      </c>
      <c r="D7" s="10">
        <f t="shared" ref="D7:J7" si="0">O12</f>
        <v>765</v>
      </c>
      <c r="E7" s="10">
        <f t="shared" si="0"/>
        <v>1166</v>
      </c>
      <c r="F7" s="10">
        <f t="shared" si="0"/>
        <v>1801</v>
      </c>
      <c r="G7" s="10">
        <f t="shared" si="0"/>
        <v>1033</v>
      </c>
      <c r="H7" s="10">
        <f t="shared" si="0"/>
        <v>240</v>
      </c>
      <c r="I7" s="10">
        <f t="shared" si="0"/>
        <v>235</v>
      </c>
      <c r="J7" s="10">
        <f t="shared" si="0"/>
        <v>206</v>
      </c>
      <c r="K7" s="46">
        <f>SUM(C7:J7)</f>
        <v>5914</v>
      </c>
      <c r="L7" s="12"/>
      <c r="M7" s="12" t="s">
        <v>44</v>
      </c>
      <c r="N7" s="12" t="s">
        <v>43</v>
      </c>
      <c r="O7" s="43">
        <v>41729</v>
      </c>
      <c r="P7" s="12" t="s">
        <v>12</v>
      </c>
      <c r="Q7" s="15" t="s">
        <v>45</v>
      </c>
      <c r="R7" s="15" t="s">
        <v>43</v>
      </c>
      <c r="S7" s="43">
        <v>41965</v>
      </c>
      <c r="T7">
        <v>5777</v>
      </c>
      <c r="U7">
        <v>50</v>
      </c>
    </row>
    <row r="8" spans="1:22" ht="12" customHeight="1" x14ac:dyDescent="0.2">
      <c r="A8" s="8" t="s">
        <v>13</v>
      </c>
      <c r="B8" s="45"/>
      <c r="C8" s="80">
        <v>557</v>
      </c>
      <c r="D8" s="80">
        <v>2346</v>
      </c>
      <c r="E8" s="80">
        <v>2877</v>
      </c>
      <c r="F8" s="80">
        <v>1000</v>
      </c>
      <c r="G8" s="80">
        <v>257</v>
      </c>
      <c r="H8" s="80">
        <v>27</v>
      </c>
      <c r="I8" s="80">
        <v>15</v>
      </c>
      <c r="J8" s="80">
        <v>0</v>
      </c>
      <c r="K8" s="46">
        <f>SUM(C8:J8)</f>
        <v>7079</v>
      </c>
      <c r="L8" s="12"/>
      <c r="N8">
        <v>424</v>
      </c>
      <c r="O8">
        <v>723</v>
      </c>
      <c r="P8">
        <v>1144</v>
      </c>
      <c r="Q8">
        <v>1781</v>
      </c>
      <c r="R8">
        <v>1026</v>
      </c>
      <c r="S8">
        <v>239</v>
      </c>
      <c r="T8">
        <v>234</v>
      </c>
      <c r="U8">
        <v>206</v>
      </c>
      <c r="V8">
        <f>SUM(N8:U8)</f>
        <v>5777</v>
      </c>
    </row>
    <row r="9" spans="1:22" ht="24.75" customHeight="1" x14ac:dyDescent="0.2">
      <c r="A9" s="8" t="s">
        <v>85</v>
      </c>
      <c r="B9" s="45"/>
      <c r="C9" s="14">
        <f>C4+C5+C6-C7-C8</f>
        <v>1446</v>
      </c>
      <c r="D9" s="14">
        <f t="shared" ref="D9:J9" si="1">D4+D5+D6-D7-D8</f>
        <v>6182</v>
      </c>
      <c r="E9" s="14">
        <f t="shared" si="1"/>
        <v>15005</v>
      </c>
      <c r="F9" s="14">
        <f t="shared" si="1"/>
        <v>13118</v>
      </c>
      <c r="G9" s="14">
        <f t="shared" si="1"/>
        <v>5648</v>
      </c>
      <c r="H9" s="14">
        <f t="shared" si="1"/>
        <v>2562</v>
      </c>
      <c r="I9" s="14">
        <f t="shared" si="1"/>
        <v>3008</v>
      </c>
      <c r="J9" s="14">
        <f t="shared" si="1"/>
        <v>381</v>
      </c>
      <c r="K9" s="46">
        <f>K4+K5+K6-K7-K8</f>
        <v>47350</v>
      </c>
      <c r="L9" s="12"/>
      <c r="N9" s="81">
        <v>0</v>
      </c>
      <c r="O9" s="81">
        <v>7</v>
      </c>
      <c r="P9" s="81">
        <v>14</v>
      </c>
      <c r="Q9" s="81">
        <v>20</v>
      </c>
      <c r="R9" s="81">
        <v>7</v>
      </c>
      <c r="S9" s="81">
        <v>1</v>
      </c>
      <c r="T9" s="81">
        <v>1</v>
      </c>
      <c r="U9" s="81">
        <v>0</v>
      </c>
      <c r="V9">
        <f>SUM(N9:U9)</f>
        <v>50</v>
      </c>
    </row>
    <row r="10" spans="1:22" ht="22.9" customHeight="1" x14ac:dyDescent="0.2">
      <c r="A10" s="8" t="s">
        <v>86</v>
      </c>
      <c r="B10" s="45"/>
      <c r="C10" s="14">
        <v>2</v>
      </c>
      <c r="D10" s="14">
        <v>20</v>
      </c>
      <c r="E10" s="14">
        <v>77</v>
      </c>
      <c r="F10" s="14">
        <v>67</v>
      </c>
      <c r="G10" s="14">
        <v>29</v>
      </c>
      <c r="H10" s="14">
        <v>13</v>
      </c>
      <c r="I10" s="14">
        <v>16</v>
      </c>
      <c r="J10" s="14">
        <v>8</v>
      </c>
      <c r="K10" s="50">
        <f>SUM(C10:J10)</f>
        <v>232</v>
      </c>
      <c r="N10">
        <f>N8+N9</f>
        <v>424</v>
      </c>
      <c r="O10">
        <f t="shared" ref="O10:U10" si="2">O8+O9</f>
        <v>730</v>
      </c>
      <c r="P10">
        <f t="shared" si="2"/>
        <v>1158</v>
      </c>
      <c r="Q10">
        <f t="shared" si="2"/>
        <v>1801</v>
      </c>
      <c r="R10">
        <f t="shared" si="2"/>
        <v>1033</v>
      </c>
      <c r="S10">
        <f t="shared" si="2"/>
        <v>240</v>
      </c>
      <c r="T10">
        <f t="shared" si="2"/>
        <v>235</v>
      </c>
      <c r="U10">
        <f t="shared" si="2"/>
        <v>206</v>
      </c>
    </row>
    <row r="11" spans="1:22" ht="23.45" customHeight="1" x14ac:dyDescent="0.2">
      <c r="A11" s="8" t="s">
        <v>15</v>
      </c>
      <c r="B11" s="16">
        <f t="shared" ref="B11:I11" si="3">C10</f>
        <v>2</v>
      </c>
      <c r="C11" s="16">
        <f t="shared" si="3"/>
        <v>20</v>
      </c>
      <c r="D11" s="16">
        <f t="shared" si="3"/>
        <v>77</v>
      </c>
      <c r="E11" s="16">
        <f t="shared" si="3"/>
        <v>67</v>
      </c>
      <c r="F11" s="16">
        <f t="shared" si="3"/>
        <v>29</v>
      </c>
      <c r="G11" s="16">
        <f t="shared" si="3"/>
        <v>13</v>
      </c>
      <c r="H11" s="16">
        <f t="shared" si="3"/>
        <v>16</v>
      </c>
      <c r="I11" s="16">
        <f t="shared" si="3"/>
        <v>8</v>
      </c>
      <c r="J11" s="45"/>
      <c r="K11" s="50">
        <f>SUM(B11:I11)</f>
        <v>232</v>
      </c>
      <c r="M11" s="12" t="s">
        <v>110</v>
      </c>
      <c r="N11" s="81">
        <f>28+16</f>
        <v>44</v>
      </c>
      <c r="O11" s="81">
        <f>27+8</f>
        <v>35</v>
      </c>
      <c r="P11" s="81">
        <f>7+1</f>
        <v>8</v>
      </c>
      <c r="Q11" s="81"/>
      <c r="R11" s="81"/>
      <c r="S11" s="81"/>
      <c r="T11" s="81"/>
      <c r="U11" s="81"/>
    </row>
    <row r="12" spans="1:22" ht="25.15" customHeight="1" x14ac:dyDescent="0.2">
      <c r="A12" s="8" t="s">
        <v>16</v>
      </c>
      <c r="B12" s="18">
        <f t="shared" ref="B12:K12" si="4">SUM(B9-B10+B11)</f>
        <v>2</v>
      </c>
      <c r="C12" s="18">
        <f t="shared" si="4"/>
        <v>1464</v>
      </c>
      <c r="D12" s="18">
        <f t="shared" si="4"/>
        <v>6239</v>
      </c>
      <c r="E12" s="18">
        <f t="shared" si="4"/>
        <v>14995</v>
      </c>
      <c r="F12" s="18">
        <f t="shared" si="4"/>
        <v>13080</v>
      </c>
      <c r="G12" s="18">
        <f t="shared" si="4"/>
        <v>5632</v>
      </c>
      <c r="H12" s="18">
        <f t="shared" si="4"/>
        <v>2565</v>
      </c>
      <c r="I12" s="18">
        <f t="shared" si="4"/>
        <v>3000</v>
      </c>
      <c r="J12" s="18">
        <f t="shared" si="4"/>
        <v>373</v>
      </c>
      <c r="K12" s="52">
        <f t="shared" si="4"/>
        <v>47350</v>
      </c>
      <c r="L12" s="12"/>
      <c r="N12">
        <f>N10+N11</f>
        <v>468</v>
      </c>
      <c r="O12">
        <f t="shared" ref="O12:U12" si="5">O10+O11</f>
        <v>765</v>
      </c>
      <c r="P12">
        <f t="shared" si="5"/>
        <v>1166</v>
      </c>
      <c r="Q12">
        <f t="shared" si="5"/>
        <v>1801</v>
      </c>
      <c r="R12">
        <f t="shared" si="5"/>
        <v>1033</v>
      </c>
      <c r="S12">
        <f t="shared" si="5"/>
        <v>240</v>
      </c>
      <c r="T12">
        <f t="shared" si="5"/>
        <v>235</v>
      </c>
      <c r="U12">
        <f t="shared" si="5"/>
        <v>206</v>
      </c>
      <c r="V12">
        <f>SUM(N12:U12)</f>
        <v>5914</v>
      </c>
    </row>
    <row r="13" spans="1:22" s="12" customFormat="1" ht="22.15" customHeight="1" x14ac:dyDescent="0.2">
      <c r="A13" s="8" t="s">
        <v>91</v>
      </c>
      <c r="B13" s="14">
        <v>0</v>
      </c>
      <c r="C13" s="20">
        <v>0</v>
      </c>
      <c r="D13" s="20">
        <v>4</v>
      </c>
      <c r="E13" s="20">
        <v>16</v>
      </c>
      <c r="F13" s="20">
        <v>27</v>
      </c>
      <c r="G13" s="20">
        <v>15</v>
      </c>
      <c r="H13" s="20">
        <v>7</v>
      </c>
      <c r="I13" s="20">
        <v>14</v>
      </c>
      <c r="J13" s="20">
        <v>2</v>
      </c>
      <c r="K13" s="52">
        <f>SUM(B13:J13)</f>
        <v>85</v>
      </c>
    </row>
    <row r="14" spans="1:22" ht="22.15" customHeight="1" x14ac:dyDescent="0.2">
      <c r="A14" s="8" t="s">
        <v>87</v>
      </c>
      <c r="B14" s="14">
        <v>0</v>
      </c>
      <c r="C14" s="14">
        <f>1267+18</f>
        <v>1285</v>
      </c>
      <c r="D14" s="14">
        <f>4514+146</f>
        <v>4660</v>
      </c>
      <c r="E14" s="14">
        <f>5401+412</f>
        <v>5813</v>
      </c>
      <c r="F14" s="14">
        <f>3715+450</f>
        <v>4165</v>
      </c>
      <c r="G14" s="14">
        <f>1410+209</f>
        <v>1619</v>
      </c>
      <c r="H14" s="14">
        <f>541+47</f>
        <v>588</v>
      </c>
      <c r="I14" s="14">
        <f>473+23</f>
        <v>496</v>
      </c>
      <c r="J14" s="14">
        <f>25+2</f>
        <v>27</v>
      </c>
      <c r="K14" s="52">
        <f>SUM(B14:J14)</f>
        <v>18653</v>
      </c>
      <c r="L14" s="12"/>
    </row>
    <row r="15" spans="1:22" s="12" customFormat="1" ht="22.9" customHeight="1" x14ac:dyDescent="0.2">
      <c r="A15" s="8" t="s">
        <v>88</v>
      </c>
      <c r="B15" s="21">
        <v>0</v>
      </c>
      <c r="C15" s="21">
        <f>N18</f>
        <v>2</v>
      </c>
      <c r="D15" s="21">
        <f t="shared" ref="D15:J15" si="6">O18</f>
        <v>14</v>
      </c>
      <c r="E15" s="21">
        <f t="shared" si="6"/>
        <v>38</v>
      </c>
      <c r="F15" s="21">
        <f t="shared" si="6"/>
        <v>30</v>
      </c>
      <c r="G15" s="21">
        <f t="shared" si="6"/>
        <v>18</v>
      </c>
      <c r="H15" s="21">
        <f t="shared" si="6"/>
        <v>15</v>
      </c>
      <c r="I15" s="21">
        <f t="shared" si="6"/>
        <v>30</v>
      </c>
      <c r="J15" s="21">
        <f t="shared" si="6"/>
        <v>16</v>
      </c>
      <c r="K15" s="53">
        <f>SUM(B15:J15)</f>
        <v>163</v>
      </c>
    </row>
    <row r="16" spans="1:22" ht="12.6" customHeight="1" x14ac:dyDescent="0.2">
      <c r="A16" s="8" t="s">
        <v>73</v>
      </c>
      <c r="B16" s="21">
        <v>0</v>
      </c>
      <c r="C16" s="21">
        <f t="shared" ref="C16:J16" si="7">C6</f>
        <v>28</v>
      </c>
      <c r="D16" s="21">
        <f t="shared" si="7"/>
        <v>107</v>
      </c>
      <c r="E16" s="21">
        <f t="shared" si="7"/>
        <v>221</v>
      </c>
      <c r="F16" s="21">
        <f t="shared" si="7"/>
        <v>185</v>
      </c>
      <c r="G16" s="21">
        <f t="shared" si="7"/>
        <v>80</v>
      </c>
      <c r="H16" s="21">
        <f t="shared" si="7"/>
        <v>33</v>
      </c>
      <c r="I16" s="21">
        <f t="shared" si="7"/>
        <v>38</v>
      </c>
      <c r="J16" s="21">
        <f t="shared" si="7"/>
        <v>7</v>
      </c>
      <c r="K16" s="53">
        <f>SUM(B16:J16)</f>
        <v>699</v>
      </c>
      <c r="M16" s="12" t="s">
        <v>93</v>
      </c>
      <c r="N16">
        <v>2</v>
      </c>
      <c r="O16">
        <v>8</v>
      </c>
      <c r="P16">
        <v>35</v>
      </c>
      <c r="Q16">
        <v>22</v>
      </c>
      <c r="R16">
        <v>15</v>
      </c>
      <c r="S16">
        <v>14</v>
      </c>
      <c r="T16">
        <v>27</v>
      </c>
      <c r="U16">
        <v>14</v>
      </c>
      <c r="V16">
        <f>SUM(N16:U16)</f>
        <v>137</v>
      </c>
    </row>
    <row r="17" spans="1:22" ht="12.6" customHeight="1" x14ac:dyDescent="0.2">
      <c r="A17" s="8" t="s">
        <v>74</v>
      </c>
      <c r="B17" s="14">
        <v>0</v>
      </c>
      <c r="C17" s="21">
        <v>5</v>
      </c>
      <c r="D17" s="21">
        <v>18</v>
      </c>
      <c r="E17" s="21">
        <v>18</v>
      </c>
      <c r="F17" s="21">
        <v>17</v>
      </c>
      <c r="G17" s="21">
        <v>10</v>
      </c>
      <c r="H17" s="21">
        <v>2</v>
      </c>
      <c r="I17" s="21">
        <v>5</v>
      </c>
      <c r="J17" s="21">
        <v>1</v>
      </c>
      <c r="K17" s="52">
        <f>SUM(B17:J17)</f>
        <v>76</v>
      </c>
      <c r="M17" s="12" t="s">
        <v>92</v>
      </c>
      <c r="N17" s="81">
        <v>0</v>
      </c>
      <c r="O17" s="81">
        <v>6</v>
      </c>
      <c r="P17" s="81">
        <v>3</v>
      </c>
      <c r="Q17" s="81">
        <v>8</v>
      </c>
      <c r="R17" s="81">
        <v>3</v>
      </c>
      <c r="S17" s="81">
        <v>1</v>
      </c>
      <c r="T17" s="81">
        <v>3</v>
      </c>
      <c r="U17" s="81">
        <v>2</v>
      </c>
      <c r="V17">
        <f>SUM(N17:U17)</f>
        <v>26</v>
      </c>
    </row>
    <row r="18" spans="1:22" ht="22.9" customHeight="1" x14ac:dyDescent="0.2">
      <c r="A18" s="8" t="s">
        <v>75</v>
      </c>
      <c r="B18" s="14">
        <f>SUM(B12-B13-B14-B15-B16-B17)</f>
        <v>2</v>
      </c>
      <c r="C18" s="14">
        <f t="shared" ref="C18:K18" si="8">SUM(C12-C13-C14-C15-C16-C17)</f>
        <v>144</v>
      </c>
      <c r="D18" s="14">
        <f t="shared" si="8"/>
        <v>1436</v>
      </c>
      <c r="E18" s="14">
        <f t="shared" si="8"/>
        <v>8889</v>
      </c>
      <c r="F18" s="14">
        <f t="shared" si="8"/>
        <v>8656</v>
      </c>
      <c r="G18" s="14">
        <f t="shared" si="8"/>
        <v>3890</v>
      </c>
      <c r="H18" s="14">
        <f t="shared" si="8"/>
        <v>1920</v>
      </c>
      <c r="I18" s="14">
        <f t="shared" si="8"/>
        <v>2417</v>
      </c>
      <c r="J18" s="14">
        <f t="shared" si="8"/>
        <v>320</v>
      </c>
      <c r="K18" s="52">
        <f t="shared" si="8"/>
        <v>27674</v>
      </c>
      <c r="L18" s="12"/>
      <c r="N18">
        <f>N16+N17</f>
        <v>2</v>
      </c>
      <c r="O18">
        <f t="shared" ref="O18:U18" si="9">O16+O17</f>
        <v>14</v>
      </c>
      <c r="P18">
        <f t="shared" si="9"/>
        <v>38</v>
      </c>
      <c r="Q18">
        <f t="shared" si="9"/>
        <v>30</v>
      </c>
      <c r="R18">
        <f t="shared" si="9"/>
        <v>18</v>
      </c>
      <c r="S18">
        <f t="shared" si="9"/>
        <v>15</v>
      </c>
      <c r="T18">
        <f t="shared" si="9"/>
        <v>30</v>
      </c>
      <c r="U18">
        <f t="shared" si="9"/>
        <v>16</v>
      </c>
    </row>
    <row r="19" spans="1:22" ht="34.9" customHeight="1" x14ac:dyDescent="0.2">
      <c r="A19" s="8" t="s">
        <v>76</v>
      </c>
      <c r="B19" s="24">
        <f>SUM((B13*0.75)+(B14*0.75)+(B15*0.5)+(B16*0.5)+ (B17*1.5)+B18)</f>
        <v>2</v>
      </c>
      <c r="C19" s="24">
        <f t="shared" ref="C19:J19" si="10">SUM((C13*0.75)+(C14*0.75)+(C15*0.5)+(C16*0.5)+ (C17*1.5)+C18)</f>
        <v>1130.25</v>
      </c>
      <c r="D19" s="24">
        <f t="shared" si="10"/>
        <v>5021.5</v>
      </c>
      <c r="E19" s="24">
        <f t="shared" si="10"/>
        <v>13417.25</v>
      </c>
      <c r="F19" s="24">
        <f t="shared" si="10"/>
        <v>11933</v>
      </c>
      <c r="G19" s="24">
        <f t="shared" si="10"/>
        <v>5179.5</v>
      </c>
      <c r="H19" s="24">
        <f t="shared" si="10"/>
        <v>2393.25</v>
      </c>
      <c r="I19" s="24">
        <f t="shared" si="10"/>
        <v>2841</v>
      </c>
      <c r="J19" s="24">
        <f t="shared" si="10"/>
        <v>354.75</v>
      </c>
      <c r="K19" s="54">
        <f>SUM(B19:J19)</f>
        <v>42272.5</v>
      </c>
    </row>
    <row r="20" spans="1:22" ht="13.15" customHeight="1" x14ac:dyDescent="0.2">
      <c r="A20" s="8" t="s">
        <v>77</v>
      </c>
      <c r="B20" s="26" t="s">
        <v>21</v>
      </c>
      <c r="C20" s="26" t="s">
        <v>22</v>
      </c>
      <c r="D20" s="27" t="s">
        <v>23</v>
      </c>
      <c r="E20" s="27" t="s">
        <v>24</v>
      </c>
      <c r="F20" s="27">
        <v>1</v>
      </c>
      <c r="G20" s="27" t="s">
        <v>25</v>
      </c>
      <c r="H20" s="27" t="s">
        <v>26</v>
      </c>
      <c r="I20" s="27" t="s">
        <v>27</v>
      </c>
      <c r="J20" s="27" t="s">
        <v>28</v>
      </c>
      <c r="K20" s="50"/>
    </row>
    <row r="21" spans="1:22" ht="3.6" hidden="1" customHeight="1" x14ac:dyDescent="0.2">
      <c r="A21" s="8"/>
      <c r="B21" s="26"/>
      <c r="C21" s="26"/>
      <c r="D21" s="27"/>
      <c r="E21" s="27"/>
      <c r="F21" s="27"/>
      <c r="G21" s="27"/>
      <c r="H21" s="27"/>
      <c r="I21" s="27"/>
      <c r="J21" s="27"/>
      <c r="K21" s="50"/>
    </row>
    <row r="22" spans="1:22" ht="17.45" customHeight="1" x14ac:dyDescent="0.25">
      <c r="A22" s="8" t="s">
        <v>78</v>
      </c>
      <c r="B22" s="28">
        <f>ROUND(B19/9*5,2)</f>
        <v>1.1100000000000001</v>
      </c>
      <c r="C22" s="28">
        <f>ROUND(C19/9*6,2)</f>
        <v>753.5</v>
      </c>
      <c r="D22" s="28">
        <f>ROUND(D19/9*7,2)</f>
        <v>3905.61</v>
      </c>
      <c r="E22" s="28">
        <f>ROUND(E19/9*8,2)</f>
        <v>11926.44</v>
      </c>
      <c r="F22" s="28">
        <f>ROUND(F19*F20,2)</f>
        <v>11933</v>
      </c>
      <c r="G22" s="28">
        <f>ROUND(G19/9*11,2)</f>
        <v>6330.5</v>
      </c>
      <c r="H22" s="28">
        <f>ROUND(H19/9*13,2)</f>
        <v>3456.92</v>
      </c>
      <c r="I22" s="28">
        <f>ROUND(I19/9*15,2)</f>
        <v>4735</v>
      </c>
      <c r="J22" s="28">
        <f>ROUND(J19/9*18,2)</f>
        <v>709.5</v>
      </c>
      <c r="K22" s="54">
        <f>SUM(B22:J22)</f>
        <v>43751.58</v>
      </c>
    </row>
    <row r="23" spans="1:22" ht="25.15" customHeight="1" x14ac:dyDescent="0.25">
      <c r="A23" s="8" t="s">
        <v>89</v>
      </c>
      <c r="B23" s="55"/>
      <c r="C23" s="51"/>
      <c r="D23" s="51"/>
      <c r="E23" s="51"/>
      <c r="F23" s="51"/>
      <c r="G23" s="51"/>
      <c r="H23" s="51"/>
      <c r="I23" s="51"/>
      <c r="J23" s="51"/>
      <c r="K23" s="56">
        <v>0</v>
      </c>
      <c r="L23" s="32"/>
    </row>
    <row r="24" spans="1:22" ht="24.6" customHeight="1" x14ac:dyDescent="0.25">
      <c r="A24" s="8" t="s">
        <v>79</v>
      </c>
      <c r="B24" s="55"/>
      <c r="C24" s="51"/>
      <c r="D24" s="51"/>
      <c r="E24" s="51"/>
      <c r="F24" s="51"/>
      <c r="G24" s="51"/>
      <c r="H24" s="51"/>
      <c r="I24" s="51"/>
      <c r="J24" s="51"/>
      <c r="K24" s="54">
        <f>SUM(K22+K23)</f>
        <v>43751.58</v>
      </c>
      <c r="M24" s="33"/>
    </row>
    <row r="25" spans="1:22" ht="15.6" customHeight="1" thickBot="1" x14ac:dyDescent="0.3">
      <c r="A25" s="34" t="s">
        <v>90</v>
      </c>
      <c r="B25" s="57"/>
      <c r="C25" s="58"/>
      <c r="D25" s="58"/>
      <c r="E25" s="58"/>
      <c r="F25" s="58"/>
      <c r="G25" s="58"/>
      <c r="H25" s="58"/>
      <c r="I25" s="58"/>
      <c r="J25" s="58"/>
      <c r="K25" s="59">
        <f>K24/100*97.5</f>
        <v>42657.790500000003</v>
      </c>
      <c r="M25" s="82"/>
    </row>
    <row r="26" spans="1:22" x14ac:dyDescent="0.2">
      <c r="F26" s="32"/>
      <c r="G26" s="37"/>
      <c r="H26" s="33"/>
      <c r="J26" s="33"/>
      <c r="K26" s="60"/>
    </row>
    <row r="27" spans="1:22" ht="15.75" x14ac:dyDescent="0.25">
      <c r="A27" s="1" t="s">
        <v>80</v>
      </c>
      <c r="C27" s="61"/>
      <c r="D27" s="2" t="s">
        <v>32</v>
      </c>
      <c r="E27" s="61"/>
      <c r="F27" s="61"/>
      <c r="G27" s="61"/>
      <c r="H27" s="61"/>
      <c r="K27" s="62"/>
    </row>
    <row r="28" spans="1:22" ht="16.5" thickBot="1" x14ac:dyDescent="0.3">
      <c r="D28" s="1" t="s">
        <v>55</v>
      </c>
      <c r="K28" s="62"/>
    </row>
    <row r="29" spans="1:22" x14ac:dyDescent="0.2">
      <c r="A29" s="4" t="s">
        <v>0</v>
      </c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3" t="s">
        <v>10</v>
      </c>
    </row>
    <row r="30" spans="1:22" x14ac:dyDescent="0.2">
      <c r="A30" s="8" t="s">
        <v>34</v>
      </c>
      <c r="B30" s="9"/>
      <c r="C30" s="10">
        <v>257</v>
      </c>
      <c r="D30" s="10">
        <v>415</v>
      </c>
      <c r="E30" s="10">
        <v>1405</v>
      </c>
      <c r="F30" s="10">
        <v>260</v>
      </c>
      <c r="G30" s="10">
        <v>133</v>
      </c>
      <c r="H30" s="10">
        <v>56</v>
      </c>
      <c r="I30" s="10">
        <v>8</v>
      </c>
      <c r="J30" s="10">
        <v>1</v>
      </c>
      <c r="K30" s="46">
        <f>SUM(B30:J30)</f>
        <v>2535</v>
      </c>
    </row>
    <row r="31" spans="1:22" x14ac:dyDescent="0.2">
      <c r="A31" s="8" t="s">
        <v>72</v>
      </c>
      <c r="B31" s="9"/>
      <c r="C31" s="77">
        <v>3</v>
      </c>
      <c r="D31" s="77">
        <v>6</v>
      </c>
      <c r="E31" s="77">
        <v>4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48">
        <f>SUM(C31:J31)</f>
        <v>13</v>
      </c>
      <c r="M31" s="12" t="s">
        <v>44</v>
      </c>
      <c r="N31" s="12" t="s">
        <v>43</v>
      </c>
      <c r="O31" s="43"/>
      <c r="P31" s="12" t="s">
        <v>12</v>
      </c>
      <c r="Q31" s="15" t="s">
        <v>45</v>
      </c>
      <c r="R31" s="15" t="s">
        <v>43</v>
      </c>
      <c r="S31" s="43">
        <v>41958</v>
      </c>
    </row>
    <row r="32" spans="1:22" x14ac:dyDescent="0.2">
      <c r="A32" s="8" t="s">
        <v>83</v>
      </c>
      <c r="B32" s="9"/>
      <c r="C32" s="78"/>
      <c r="D32" s="78"/>
      <c r="E32" s="78"/>
      <c r="F32" s="78"/>
      <c r="G32" s="78"/>
      <c r="H32" s="78"/>
      <c r="I32" s="78"/>
      <c r="J32" s="78"/>
      <c r="K32" s="50">
        <f>SUM(B32:J32)</f>
        <v>0</v>
      </c>
      <c r="N32">
        <v>1</v>
      </c>
      <c r="O32">
        <v>12</v>
      </c>
      <c r="P32">
        <v>14</v>
      </c>
      <c r="Q32">
        <v>7</v>
      </c>
      <c r="R32">
        <v>2</v>
      </c>
      <c r="S32">
        <v>1</v>
      </c>
      <c r="T32">
        <v>0</v>
      </c>
      <c r="U32">
        <v>0</v>
      </c>
      <c r="V32">
        <f>SUM(N32:U32)</f>
        <v>37</v>
      </c>
    </row>
    <row r="33" spans="1:22" x14ac:dyDescent="0.2">
      <c r="A33" s="8" t="s">
        <v>84</v>
      </c>
      <c r="B33" s="9"/>
      <c r="C33" s="10">
        <f>N34</f>
        <v>1</v>
      </c>
      <c r="D33" s="10">
        <f t="shared" ref="D33:J33" si="11">O34</f>
        <v>13</v>
      </c>
      <c r="E33" s="10">
        <f t="shared" si="11"/>
        <v>15</v>
      </c>
      <c r="F33" s="10">
        <f t="shared" si="11"/>
        <v>7</v>
      </c>
      <c r="G33" s="10">
        <f t="shared" si="11"/>
        <v>2</v>
      </c>
      <c r="H33" s="10">
        <f t="shared" si="11"/>
        <v>1</v>
      </c>
      <c r="I33" s="10">
        <f t="shared" si="11"/>
        <v>0</v>
      </c>
      <c r="J33" s="10">
        <f t="shared" si="11"/>
        <v>0</v>
      </c>
      <c r="K33" s="46">
        <f>SUM(C33:J33)</f>
        <v>39</v>
      </c>
      <c r="N33" s="81">
        <v>0</v>
      </c>
      <c r="O33" s="81">
        <v>1</v>
      </c>
      <c r="P33" s="81">
        <v>1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>
        <f>SUM(N33:U33)</f>
        <v>2</v>
      </c>
    </row>
    <row r="34" spans="1:22" x14ac:dyDescent="0.2">
      <c r="A34" s="8" t="s">
        <v>13</v>
      </c>
      <c r="B34" s="9"/>
      <c r="C34" s="80">
        <v>93</v>
      </c>
      <c r="D34" s="80">
        <v>118</v>
      </c>
      <c r="E34" s="80">
        <v>171</v>
      </c>
      <c r="F34" s="80">
        <v>19</v>
      </c>
      <c r="G34" s="80">
        <v>9</v>
      </c>
      <c r="H34" s="80">
        <v>0</v>
      </c>
      <c r="I34" s="80">
        <v>0</v>
      </c>
      <c r="J34" s="80">
        <v>0</v>
      </c>
      <c r="K34" s="46">
        <f>SUM(C34:J34)</f>
        <v>410</v>
      </c>
      <c r="N34">
        <f>N32+N33</f>
        <v>1</v>
      </c>
      <c r="O34">
        <f t="shared" ref="O34:U34" si="12">O32+O33</f>
        <v>13</v>
      </c>
      <c r="P34">
        <f t="shared" si="12"/>
        <v>15</v>
      </c>
      <c r="Q34">
        <f t="shared" si="12"/>
        <v>7</v>
      </c>
      <c r="R34">
        <f t="shared" si="12"/>
        <v>2</v>
      </c>
      <c r="S34">
        <f t="shared" si="12"/>
        <v>1</v>
      </c>
      <c r="T34">
        <f t="shared" si="12"/>
        <v>0</v>
      </c>
      <c r="U34">
        <f t="shared" si="12"/>
        <v>0</v>
      </c>
    </row>
    <row r="35" spans="1:22" ht="22.5" x14ac:dyDescent="0.2">
      <c r="A35" s="8" t="s">
        <v>85</v>
      </c>
      <c r="B35" s="9"/>
      <c r="C35" s="14">
        <f>C30+C31+C32-C33-C34</f>
        <v>166</v>
      </c>
      <c r="D35" s="14">
        <f t="shared" ref="D35:J35" si="13">D30+D31+D32-D33-D34</f>
        <v>290</v>
      </c>
      <c r="E35" s="14">
        <f t="shared" si="13"/>
        <v>1223</v>
      </c>
      <c r="F35" s="14">
        <f t="shared" si="13"/>
        <v>234</v>
      </c>
      <c r="G35" s="14">
        <f t="shared" si="13"/>
        <v>122</v>
      </c>
      <c r="H35" s="14">
        <f t="shared" si="13"/>
        <v>55</v>
      </c>
      <c r="I35" s="14">
        <f t="shared" si="13"/>
        <v>8</v>
      </c>
      <c r="J35" s="14">
        <f t="shared" si="13"/>
        <v>1</v>
      </c>
      <c r="K35" s="46">
        <f>K30+K31+K32-K33-K34</f>
        <v>2099</v>
      </c>
    </row>
    <row r="36" spans="1:22" ht="22.5" x14ac:dyDescent="0.2">
      <c r="A36" s="8" t="s">
        <v>86</v>
      </c>
      <c r="B36" s="9"/>
      <c r="C36" s="14">
        <v>1</v>
      </c>
      <c r="D36" s="14">
        <v>0</v>
      </c>
      <c r="E36" s="14">
        <v>11</v>
      </c>
      <c r="F36" s="14">
        <v>1</v>
      </c>
      <c r="G36" s="14">
        <v>0</v>
      </c>
      <c r="H36" s="14">
        <v>1</v>
      </c>
      <c r="I36" s="14">
        <v>0</v>
      </c>
      <c r="J36" s="14">
        <v>1</v>
      </c>
      <c r="K36" s="50">
        <f>SUM(C36:J36)</f>
        <v>15</v>
      </c>
    </row>
    <row r="37" spans="1:22" ht="33.75" x14ac:dyDescent="0.2">
      <c r="A37" s="8" t="s">
        <v>15</v>
      </c>
      <c r="B37" s="16">
        <f t="shared" ref="B37:I37" si="14">C36</f>
        <v>1</v>
      </c>
      <c r="C37" s="16">
        <f t="shared" si="14"/>
        <v>0</v>
      </c>
      <c r="D37" s="16">
        <f t="shared" si="14"/>
        <v>11</v>
      </c>
      <c r="E37" s="16">
        <f t="shared" si="14"/>
        <v>1</v>
      </c>
      <c r="F37" s="16">
        <f t="shared" si="14"/>
        <v>0</v>
      </c>
      <c r="G37" s="16">
        <f t="shared" si="14"/>
        <v>1</v>
      </c>
      <c r="H37" s="16">
        <f t="shared" si="14"/>
        <v>0</v>
      </c>
      <c r="I37" s="16">
        <f t="shared" si="14"/>
        <v>1</v>
      </c>
      <c r="J37" s="9"/>
      <c r="K37" s="50">
        <f>SUM(B37:I37)</f>
        <v>15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22.5" x14ac:dyDescent="0.2">
      <c r="A38" s="8" t="s">
        <v>16</v>
      </c>
      <c r="B38" s="18">
        <f t="shared" ref="B38:K38" si="15">SUM(B35-B36+B37)</f>
        <v>1</v>
      </c>
      <c r="C38" s="18">
        <f t="shared" si="15"/>
        <v>165</v>
      </c>
      <c r="D38" s="18">
        <f t="shared" si="15"/>
        <v>301</v>
      </c>
      <c r="E38" s="18">
        <f t="shared" si="15"/>
        <v>1213</v>
      </c>
      <c r="F38" s="18">
        <f t="shared" si="15"/>
        <v>233</v>
      </c>
      <c r="G38" s="18">
        <f t="shared" si="15"/>
        <v>123</v>
      </c>
      <c r="H38" s="18">
        <f t="shared" si="15"/>
        <v>54</v>
      </c>
      <c r="I38" s="18">
        <f t="shared" si="15"/>
        <v>9</v>
      </c>
      <c r="J38" s="18">
        <f t="shared" si="15"/>
        <v>0</v>
      </c>
      <c r="K38" s="52">
        <f t="shared" si="15"/>
        <v>2099</v>
      </c>
    </row>
    <row r="39" spans="1:22" ht="22.5" x14ac:dyDescent="0.2">
      <c r="A39" s="8" t="s">
        <v>91</v>
      </c>
      <c r="B39" s="14">
        <v>0</v>
      </c>
      <c r="C39" s="20">
        <v>0</v>
      </c>
      <c r="D39" s="20">
        <v>1</v>
      </c>
      <c r="E39" s="20">
        <v>2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52">
        <f>SUM(B39:J39)</f>
        <v>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22.5" x14ac:dyDescent="0.2">
      <c r="A40" s="8" t="s">
        <v>87</v>
      </c>
      <c r="B40" s="14">
        <v>0</v>
      </c>
      <c r="C40" s="14">
        <f>129+2</f>
        <v>131</v>
      </c>
      <c r="D40" s="14">
        <f>230+3</f>
        <v>233</v>
      </c>
      <c r="E40" s="14">
        <f>377+15</f>
        <v>392</v>
      </c>
      <c r="F40" s="14">
        <f>63+4</f>
        <v>67</v>
      </c>
      <c r="G40" s="14">
        <f>31+2</f>
        <v>33</v>
      </c>
      <c r="H40" s="14">
        <f>10+0</f>
        <v>10</v>
      </c>
      <c r="I40" s="14">
        <f>1+1</f>
        <v>2</v>
      </c>
      <c r="J40" s="14">
        <v>0</v>
      </c>
      <c r="K40" s="52">
        <f>SUM(B40:J40)</f>
        <v>868</v>
      </c>
      <c r="L40" s="12"/>
      <c r="M40" s="12" t="s">
        <v>93</v>
      </c>
      <c r="N40">
        <v>0</v>
      </c>
      <c r="O40">
        <v>3</v>
      </c>
      <c r="P40">
        <v>15</v>
      </c>
      <c r="Q40">
        <v>0</v>
      </c>
      <c r="R40">
        <v>0</v>
      </c>
      <c r="S40">
        <v>1</v>
      </c>
      <c r="T40">
        <v>1</v>
      </c>
      <c r="U40">
        <v>0</v>
      </c>
      <c r="V40">
        <f>SUM(N40:U40)</f>
        <v>20</v>
      </c>
    </row>
    <row r="41" spans="1:22" ht="22.5" x14ac:dyDescent="0.2">
      <c r="A41" s="8" t="s">
        <v>88</v>
      </c>
      <c r="B41" s="21">
        <v>0</v>
      </c>
      <c r="C41" s="21">
        <f>N42</f>
        <v>0</v>
      </c>
      <c r="D41" s="21">
        <f t="shared" ref="D41:J41" si="16">O42</f>
        <v>3</v>
      </c>
      <c r="E41" s="21">
        <f t="shared" si="16"/>
        <v>15</v>
      </c>
      <c r="F41" s="21">
        <f t="shared" si="16"/>
        <v>0</v>
      </c>
      <c r="G41" s="21">
        <f t="shared" si="16"/>
        <v>0</v>
      </c>
      <c r="H41" s="21">
        <f t="shared" si="16"/>
        <v>1</v>
      </c>
      <c r="I41" s="21">
        <f t="shared" si="16"/>
        <v>1</v>
      </c>
      <c r="J41" s="21">
        <f t="shared" si="16"/>
        <v>0</v>
      </c>
      <c r="K41" s="53">
        <f>SUM(B41:J41)</f>
        <v>20</v>
      </c>
      <c r="L41" s="12"/>
      <c r="M41" s="12" t="s">
        <v>92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>
        <f>SUM(N41:U41)</f>
        <v>0</v>
      </c>
    </row>
    <row r="42" spans="1:22" x14ac:dyDescent="0.2">
      <c r="A42" s="8" t="s">
        <v>73</v>
      </c>
      <c r="B42" s="21">
        <v>0</v>
      </c>
      <c r="C42" s="21">
        <f t="shared" ref="C42:J42" si="17">C32</f>
        <v>0</v>
      </c>
      <c r="D42" s="21">
        <f t="shared" si="17"/>
        <v>0</v>
      </c>
      <c r="E42" s="21">
        <f t="shared" si="17"/>
        <v>0</v>
      </c>
      <c r="F42" s="21">
        <f t="shared" si="17"/>
        <v>0</v>
      </c>
      <c r="G42" s="21">
        <f t="shared" si="17"/>
        <v>0</v>
      </c>
      <c r="H42" s="21">
        <f t="shared" si="17"/>
        <v>0</v>
      </c>
      <c r="I42" s="21">
        <f t="shared" si="17"/>
        <v>0</v>
      </c>
      <c r="J42" s="21">
        <f t="shared" si="17"/>
        <v>0</v>
      </c>
      <c r="K42" s="53">
        <f>SUM(B42:J42)</f>
        <v>0</v>
      </c>
      <c r="N42">
        <f>N40+N41</f>
        <v>0</v>
      </c>
      <c r="O42">
        <f t="shared" ref="O42:U42" si="18">O40+O41</f>
        <v>3</v>
      </c>
      <c r="P42">
        <f t="shared" si="18"/>
        <v>15</v>
      </c>
      <c r="Q42">
        <f t="shared" si="18"/>
        <v>0</v>
      </c>
      <c r="R42">
        <f t="shared" si="18"/>
        <v>0</v>
      </c>
      <c r="S42">
        <f t="shared" si="18"/>
        <v>1</v>
      </c>
      <c r="T42">
        <f t="shared" si="18"/>
        <v>1</v>
      </c>
      <c r="U42">
        <f t="shared" si="18"/>
        <v>0</v>
      </c>
    </row>
    <row r="43" spans="1:22" x14ac:dyDescent="0.2">
      <c r="A43" s="8" t="s">
        <v>74</v>
      </c>
      <c r="B43" s="14">
        <v>0</v>
      </c>
      <c r="C43" s="21">
        <v>2</v>
      </c>
      <c r="D43" s="21">
        <v>1</v>
      </c>
      <c r="E43" s="21">
        <v>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52">
        <f>SUM(B43:J43)</f>
        <v>6</v>
      </c>
    </row>
    <row r="44" spans="1:22" ht="22.5" x14ac:dyDescent="0.2">
      <c r="A44" s="8" t="s">
        <v>75</v>
      </c>
      <c r="B44" s="14">
        <f>SUM(B38-B39-B40-B41-B42-B43)</f>
        <v>1</v>
      </c>
      <c r="C44" s="14">
        <f t="shared" ref="C44:K44" si="19">SUM(C38-C39-C40-C41-C42-C43)</f>
        <v>32</v>
      </c>
      <c r="D44" s="14">
        <f t="shared" si="19"/>
        <v>63</v>
      </c>
      <c r="E44" s="14">
        <f t="shared" si="19"/>
        <v>801</v>
      </c>
      <c r="F44" s="14">
        <f t="shared" si="19"/>
        <v>166</v>
      </c>
      <c r="G44" s="14">
        <f t="shared" si="19"/>
        <v>89</v>
      </c>
      <c r="H44" s="14">
        <f t="shared" si="19"/>
        <v>43</v>
      </c>
      <c r="I44" s="14">
        <f t="shared" si="19"/>
        <v>6</v>
      </c>
      <c r="J44" s="14">
        <f t="shared" si="19"/>
        <v>0</v>
      </c>
      <c r="K44" s="52">
        <f t="shared" si="19"/>
        <v>1201</v>
      </c>
    </row>
    <row r="45" spans="1:22" ht="33.75" x14ac:dyDescent="0.2">
      <c r="A45" s="8" t="s">
        <v>76</v>
      </c>
      <c r="B45" s="24">
        <f>SUM((B39*0.75)+(B40*0.75)+(B41*0.5)+(B42*0.5)+ (B43*1.5)+B44)</f>
        <v>1</v>
      </c>
      <c r="C45" s="24">
        <f t="shared" ref="C45:J45" si="20">SUM((C39*0.75)+(C40*0.75)+(C41*0.5)+(C42*0.5)+ (C43*1.5)+C44)</f>
        <v>133.25</v>
      </c>
      <c r="D45" s="24">
        <f t="shared" si="20"/>
        <v>241.5</v>
      </c>
      <c r="E45" s="24">
        <f t="shared" si="20"/>
        <v>1108.5</v>
      </c>
      <c r="F45" s="24">
        <f t="shared" si="20"/>
        <v>216.25</v>
      </c>
      <c r="G45" s="24">
        <f t="shared" si="20"/>
        <v>114.5</v>
      </c>
      <c r="H45" s="24">
        <f t="shared" si="20"/>
        <v>51</v>
      </c>
      <c r="I45" s="24">
        <f t="shared" si="20"/>
        <v>8</v>
      </c>
      <c r="J45" s="24">
        <f t="shared" si="20"/>
        <v>0</v>
      </c>
      <c r="K45" s="56">
        <f>SUM(B45:J45)</f>
        <v>1874</v>
      </c>
    </row>
    <row r="46" spans="1:22" x14ac:dyDescent="0.2">
      <c r="A46" s="8" t="s">
        <v>77</v>
      </c>
      <c r="B46" s="26" t="s">
        <v>21</v>
      </c>
      <c r="C46" s="26" t="s">
        <v>22</v>
      </c>
      <c r="D46" s="27" t="s">
        <v>23</v>
      </c>
      <c r="E46" s="27" t="s">
        <v>24</v>
      </c>
      <c r="F46" s="27">
        <v>1</v>
      </c>
      <c r="G46" s="27" t="s">
        <v>25</v>
      </c>
      <c r="H46" s="27" t="s">
        <v>26</v>
      </c>
      <c r="I46" s="27" t="s">
        <v>27</v>
      </c>
      <c r="J46" s="27" t="s">
        <v>28</v>
      </c>
      <c r="K46" s="50"/>
    </row>
    <row r="47" spans="1:22" x14ac:dyDescent="0.2">
      <c r="A47" s="8"/>
      <c r="B47" s="26"/>
      <c r="C47" s="26"/>
      <c r="D47" s="27"/>
      <c r="E47" s="27"/>
      <c r="F47" s="27"/>
      <c r="G47" s="27"/>
      <c r="H47" s="27"/>
      <c r="I47" s="27"/>
      <c r="J47" s="27"/>
      <c r="K47" s="50"/>
    </row>
    <row r="48" spans="1:22" ht="15" x14ac:dyDescent="0.25">
      <c r="A48" s="8" t="s">
        <v>78</v>
      </c>
      <c r="B48" s="28">
        <f>ROUND(B45/9*5,2)</f>
        <v>0.56000000000000005</v>
      </c>
      <c r="C48" s="28">
        <f>ROUND(C45/9*6,2)</f>
        <v>88.83</v>
      </c>
      <c r="D48" s="28">
        <f>ROUND(D45/9*7,2)</f>
        <v>187.83</v>
      </c>
      <c r="E48" s="28">
        <f>ROUND(E45/9*8,2)</f>
        <v>985.33</v>
      </c>
      <c r="F48" s="28">
        <f>ROUND(F45*F46,2)</f>
        <v>216.25</v>
      </c>
      <c r="G48" s="28">
        <f>ROUND(G45/9*11,2)</f>
        <v>139.94</v>
      </c>
      <c r="H48" s="28">
        <f>ROUND(H45/9*13,2)</f>
        <v>73.67</v>
      </c>
      <c r="I48" s="28">
        <f>ROUND(I45/9*15,2)</f>
        <v>13.33</v>
      </c>
      <c r="J48" s="28">
        <f>ROUND(J45/9*18,2)</f>
        <v>0</v>
      </c>
      <c r="K48" s="54">
        <f>SUM(B48:J48)</f>
        <v>1705.7400000000002</v>
      </c>
      <c r="L48" s="32"/>
    </row>
    <row r="49" spans="1:22" ht="23.25" x14ac:dyDescent="0.25">
      <c r="A49" s="8" t="s">
        <v>89</v>
      </c>
      <c r="B49" s="55"/>
      <c r="C49" s="51"/>
      <c r="D49" s="51"/>
      <c r="E49" s="51"/>
      <c r="F49" s="51"/>
      <c r="G49" s="51"/>
      <c r="H49" s="51"/>
      <c r="I49" s="51"/>
      <c r="J49" s="51"/>
      <c r="K49" s="56">
        <v>0</v>
      </c>
      <c r="L49" s="37"/>
    </row>
    <row r="50" spans="1:22" ht="23.25" x14ac:dyDescent="0.25">
      <c r="A50" s="8" t="s">
        <v>79</v>
      </c>
      <c r="B50" s="55"/>
      <c r="C50" s="51"/>
      <c r="D50" s="51"/>
      <c r="E50" s="51"/>
      <c r="F50" s="51"/>
      <c r="G50" s="51"/>
      <c r="H50" s="51"/>
      <c r="I50" s="51"/>
      <c r="J50" s="51"/>
      <c r="K50" s="54">
        <f>SUM(K48+K49)</f>
        <v>1705.7400000000002</v>
      </c>
    </row>
    <row r="51" spans="1:22" ht="16.5" thickBot="1" x14ac:dyDescent="0.3">
      <c r="A51" s="34" t="s">
        <v>90</v>
      </c>
      <c r="B51" s="57"/>
      <c r="C51" s="58"/>
      <c r="D51" s="58"/>
      <c r="E51" s="58"/>
      <c r="F51" s="58"/>
      <c r="G51" s="58"/>
      <c r="H51" s="58"/>
      <c r="I51" s="58"/>
      <c r="J51" s="58"/>
      <c r="K51" s="59">
        <f>K50/100*97.5</f>
        <v>1663.0965000000001</v>
      </c>
    </row>
    <row r="52" spans="1:22" ht="15.75" x14ac:dyDescent="0.25">
      <c r="A52" s="1" t="s">
        <v>80</v>
      </c>
      <c r="D52" s="2" t="s">
        <v>32</v>
      </c>
      <c r="K52" s="62"/>
    </row>
    <row r="53" spans="1:22" ht="16.5" thickBot="1" x14ac:dyDescent="0.3">
      <c r="D53" s="1" t="s">
        <v>56</v>
      </c>
      <c r="K53" s="62"/>
    </row>
    <row r="54" spans="1:22" x14ac:dyDescent="0.2">
      <c r="A54" s="4" t="s">
        <v>0</v>
      </c>
      <c r="B54" s="5" t="s">
        <v>1</v>
      </c>
      <c r="C54" s="6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  <c r="K54" s="63" t="s">
        <v>10</v>
      </c>
    </row>
    <row r="55" spans="1:22" x14ac:dyDescent="0.2">
      <c r="A55" s="8" t="s">
        <v>34</v>
      </c>
      <c r="B55" s="9"/>
      <c r="C55" s="10">
        <v>84</v>
      </c>
      <c r="D55" s="10">
        <v>56</v>
      </c>
      <c r="E55" s="10">
        <v>297</v>
      </c>
      <c r="F55" s="10">
        <v>780</v>
      </c>
      <c r="G55" s="10">
        <v>153</v>
      </c>
      <c r="H55" s="10">
        <v>25</v>
      </c>
      <c r="I55" s="10">
        <v>71</v>
      </c>
      <c r="J55" s="10">
        <v>3</v>
      </c>
      <c r="K55" s="46">
        <f>SUM(B55:J55)</f>
        <v>1469</v>
      </c>
    </row>
    <row r="56" spans="1:22" x14ac:dyDescent="0.2">
      <c r="A56" s="8" t="s">
        <v>72</v>
      </c>
      <c r="B56" s="9"/>
      <c r="C56" s="77"/>
      <c r="D56" s="77"/>
      <c r="E56" s="77"/>
      <c r="F56" s="77"/>
      <c r="G56" s="77"/>
      <c r="H56" s="77"/>
      <c r="I56" s="77"/>
      <c r="J56" s="77"/>
      <c r="K56" s="48">
        <f>SUM(C56:J56)</f>
        <v>0</v>
      </c>
      <c r="M56" s="12" t="s">
        <v>44</v>
      </c>
      <c r="N56" s="12" t="s">
        <v>43</v>
      </c>
      <c r="O56" s="43"/>
      <c r="P56" s="12" t="s">
        <v>12</v>
      </c>
      <c r="Q56" s="15" t="s">
        <v>45</v>
      </c>
      <c r="R56" s="15" t="s">
        <v>43</v>
      </c>
      <c r="S56" s="43">
        <v>41958</v>
      </c>
    </row>
    <row r="57" spans="1:22" x14ac:dyDescent="0.2">
      <c r="A57" s="8" t="s">
        <v>83</v>
      </c>
      <c r="B57" s="9"/>
      <c r="C57" s="78"/>
      <c r="D57" s="78"/>
      <c r="E57" s="78"/>
      <c r="F57" s="78"/>
      <c r="G57" s="78"/>
      <c r="H57" s="78"/>
      <c r="I57" s="78"/>
      <c r="J57" s="78"/>
      <c r="K57" s="50">
        <f>SUM(B57:J57)</f>
        <v>0</v>
      </c>
      <c r="N57">
        <v>3</v>
      </c>
      <c r="O57">
        <v>1</v>
      </c>
      <c r="P57">
        <v>11</v>
      </c>
      <c r="Q57">
        <v>11</v>
      </c>
      <c r="R57">
        <v>0</v>
      </c>
      <c r="S57">
        <v>0</v>
      </c>
      <c r="T57">
        <v>0</v>
      </c>
      <c r="U57">
        <v>0</v>
      </c>
      <c r="V57">
        <f>SUM(N57:U57)</f>
        <v>26</v>
      </c>
    </row>
    <row r="58" spans="1:22" x14ac:dyDescent="0.2">
      <c r="A58" s="8" t="s">
        <v>84</v>
      </c>
      <c r="B58" s="9"/>
      <c r="C58" s="10">
        <f>N59</f>
        <v>3</v>
      </c>
      <c r="D58" s="10">
        <f t="shared" ref="D58:J58" si="21">O59</f>
        <v>1</v>
      </c>
      <c r="E58" s="85">
        <v>4</v>
      </c>
      <c r="F58" s="10">
        <f t="shared" si="21"/>
        <v>12</v>
      </c>
      <c r="G58" s="10">
        <f t="shared" si="21"/>
        <v>1</v>
      </c>
      <c r="H58" s="10">
        <f t="shared" si="21"/>
        <v>0</v>
      </c>
      <c r="I58" s="10">
        <f t="shared" si="21"/>
        <v>0</v>
      </c>
      <c r="J58" s="10">
        <f t="shared" si="21"/>
        <v>0</v>
      </c>
      <c r="K58" s="46">
        <f>SUM(C58:J58)</f>
        <v>21</v>
      </c>
      <c r="N58" s="81">
        <v>0</v>
      </c>
      <c r="O58" s="81">
        <v>0</v>
      </c>
      <c r="P58" s="81">
        <v>0</v>
      </c>
      <c r="Q58" s="81">
        <v>1</v>
      </c>
      <c r="R58" s="81">
        <v>1</v>
      </c>
      <c r="S58" s="81">
        <v>0</v>
      </c>
      <c r="T58" s="81">
        <v>0</v>
      </c>
      <c r="U58" s="81">
        <v>0</v>
      </c>
      <c r="V58">
        <f>SUM(N58:U58)</f>
        <v>2</v>
      </c>
    </row>
    <row r="59" spans="1:22" x14ac:dyDescent="0.2">
      <c r="A59" s="8" t="s">
        <v>13</v>
      </c>
      <c r="B59" s="9"/>
      <c r="C59" s="80">
        <v>12</v>
      </c>
      <c r="D59" s="80">
        <v>7</v>
      </c>
      <c r="E59" s="80">
        <v>37</v>
      </c>
      <c r="F59" s="80">
        <v>54</v>
      </c>
      <c r="G59" s="80">
        <v>5</v>
      </c>
      <c r="H59" s="80">
        <v>0</v>
      </c>
      <c r="I59" s="80">
        <v>0</v>
      </c>
      <c r="J59" s="80">
        <v>0</v>
      </c>
      <c r="K59" s="46">
        <f>SUM(C59:J59)</f>
        <v>115</v>
      </c>
      <c r="L59" s="12"/>
      <c r="N59">
        <f>N57+N58</f>
        <v>3</v>
      </c>
      <c r="O59">
        <f t="shared" ref="O59:U59" si="22">O57+O58</f>
        <v>1</v>
      </c>
      <c r="P59">
        <f t="shared" si="22"/>
        <v>11</v>
      </c>
      <c r="Q59">
        <f t="shared" si="22"/>
        <v>12</v>
      </c>
      <c r="R59">
        <f t="shared" si="22"/>
        <v>1</v>
      </c>
      <c r="S59">
        <f t="shared" si="22"/>
        <v>0</v>
      </c>
      <c r="T59">
        <f t="shared" si="22"/>
        <v>0</v>
      </c>
      <c r="U59">
        <f t="shared" si="22"/>
        <v>0</v>
      </c>
    </row>
    <row r="60" spans="1:22" ht="22.5" x14ac:dyDescent="0.2">
      <c r="A60" s="8" t="s">
        <v>85</v>
      </c>
      <c r="B60" s="9"/>
      <c r="C60" s="14">
        <f>C55+C56+C57-C58-C59</f>
        <v>69</v>
      </c>
      <c r="D60" s="14">
        <f t="shared" ref="D60:J60" si="23">D55+D56+D57-D58-D59</f>
        <v>48</v>
      </c>
      <c r="E60" s="14">
        <f t="shared" si="23"/>
        <v>256</v>
      </c>
      <c r="F60" s="14">
        <f t="shared" si="23"/>
        <v>714</v>
      </c>
      <c r="G60" s="14">
        <f t="shared" si="23"/>
        <v>147</v>
      </c>
      <c r="H60" s="14">
        <f t="shared" si="23"/>
        <v>25</v>
      </c>
      <c r="I60" s="14">
        <f t="shared" si="23"/>
        <v>71</v>
      </c>
      <c r="J60" s="14">
        <f t="shared" si="23"/>
        <v>3</v>
      </c>
      <c r="K60" s="46">
        <f>K55+K56+K57-K58-K59</f>
        <v>1333</v>
      </c>
    </row>
    <row r="61" spans="1:22" ht="22.5" x14ac:dyDescent="0.2">
      <c r="A61" s="8" t="s">
        <v>86</v>
      </c>
      <c r="B61" s="9"/>
      <c r="C61" s="14">
        <v>1</v>
      </c>
      <c r="D61" s="14">
        <v>0</v>
      </c>
      <c r="E61" s="14">
        <v>2</v>
      </c>
      <c r="F61" s="14">
        <v>6</v>
      </c>
      <c r="G61" s="14">
        <v>0</v>
      </c>
      <c r="H61" s="14">
        <v>0</v>
      </c>
      <c r="I61" s="14">
        <v>2</v>
      </c>
      <c r="J61" s="14">
        <v>0</v>
      </c>
      <c r="K61" s="50">
        <f>SUM(C61:J61)</f>
        <v>11</v>
      </c>
    </row>
    <row r="62" spans="1:22" ht="33.75" x14ac:dyDescent="0.2">
      <c r="A62" s="8" t="s">
        <v>15</v>
      </c>
      <c r="B62" s="16">
        <f t="shared" ref="B62:I62" si="24">C61</f>
        <v>1</v>
      </c>
      <c r="C62" s="16">
        <f t="shared" si="24"/>
        <v>0</v>
      </c>
      <c r="D62" s="16">
        <f t="shared" si="24"/>
        <v>2</v>
      </c>
      <c r="E62" s="16">
        <f t="shared" si="24"/>
        <v>6</v>
      </c>
      <c r="F62" s="16">
        <f t="shared" si="24"/>
        <v>0</v>
      </c>
      <c r="G62" s="16">
        <f t="shared" si="24"/>
        <v>0</v>
      </c>
      <c r="H62" s="16">
        <f t="shared" si="24"/>
        <v>2</v>
      </c>
      <c r="I62" s="16">
        <f t="shared" si="24"/>
        <v>0</v>
      </c>
      <c r="J62" s="9"/>
      <c r="K62" s="50">
        <f>SUM(B62:I62)</f>
        <v>11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22.5" x14ac:dyDescent="0.2">
      <c r="A63" s="8" t="s">
        <v>16</v>
      </c>
      <c r="B63" s="18">
        <f t="shared" ref="B63:K63" si="25">SUM(B60-B61+B62)</f>
        <v>1</v>
      </c>
      <c r="C63" s="18">
        <f t="shared" si="25"/>
        <v>68</v>
      </c>
      <c r="D63" s="18">
        <f t="shared" si="25"/>
        <v>50</v>
      </c>
      <c r="E63" s="18">
        <f t="shared" si="25"/>
        <v>260</v>
      </c>
      <c r="F63" s="18">
        <f t="shared" si="25"/>
        <v>708</v>
      </c>
      <c r="G63" s="18">
        <f t="shared" si="25"/>
        <v>147</v>
      </c>
      <c r="H63" s="18">
        <f t="shared" si="25"/>
        <v>27</v>
      </c>
      <c r="I63" s="18">
        <f t="shared" si="25"/>
        <v>69</v>
      </c>
      <c r="J63" s="18">
        <f t="shared" si="25"/>
        <v>3</v>
      </c>
      <c r="K63" s="52">
        <f t="shared" si="25"/>
        <v>1333</v>
      </c>
    </row>
    <row r="64" spans="1:22" ht="22.5" x14ac:dyDescent="0.2">
      <c r="A64" s="8" t="s">
        <v>91</v>
      </c>
      <c r="B64" s="14">
        <v>0</v>
      </c>
      <c r="C64" s="20">
        <v>0</v>
      </c>
      <c r="D64" s="20">
        <v>0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52">
        <f>SUM(B64:J64)</f>
        <v>1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2.5" x14ac:dyDescent="0.2">
      <c r="A65" s="8" t="s">
        <v>87</v>
      </c>
      <c r="B65" s="14">
        <v>0</v>
      </c>
      <c r="C65" s="14">
        <f>42+1</f>
        <v>43</v>
      </c>
      <c r="D65" s="14">
        <f>23+2</f>
        <v>25</v>
      </c>
      <c r="E65" s="14">
        <f>100+12</f>
        <v>112</v>
      </c>
      <c r="F65" s="14">
        <f>207+16</f>
        <v>223</v>
      </c>
      <c r="G65" s="14">
        <f>36+2</f>
        <v>38</v>
      </c>
      <c r="H65" s="14">
        <f>6+1</f>
        <v>7</v>
      </c>
      <c r="I65" s="14">
        <f>14+1</f>
        <v>15</v>
      </c>
      <c r="J65" s="14">
        <f>0+0</f>
        <v>0</v>
      </c>
      <c r="K65" s="52">
        <f>SUM(B65:J65)</f>
        <v>463</v>
      </c>
      <c r="M65" s="12" t="s">
        <v>93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f>SUM(N65:U65)</f>
        <v>0</v>
      </c>
    </row>
    <row r="66" spans="1:22" ht="22.5" x14ac:dyDescent="0.2">
      <c r="A66" s="8" t="s">
        <v>88</v>
      </c>
      <c r="B66" s="21">
        <v>0</v>
      </c>
      <c r="C66" s="21">
        <f>N67</f>
        <v>0</v>
      </c>
      <c r="D66" s="21">
        <f t="shared" ref="D66:J66" si="26">O67</f>
        <v>0</v>
      </c>
      <c r="E66" s="21">
        <f t="shared" si="26"/>
        <v>0</v>
      </c>
      <c r="F66" s="21">
        <f t="shared" si="26"/>
        <v>0</v>
      </c>
      <c r="G66" s="21">
        <f t="shared" si="26"/>
        <v>0</v>
      </c>
      <c r="H66" s="21">
        <f t="shared" si="26"/>
        <v>0</v>
      </c>
      <c r="I66" s="21">
        <f t="shared" si="26"/>
        <v>0</v>
      </c>
      <c r="J66" s="21">
        <f t="shared" si="26"/>
        <v>0</v>
      </c>
      <c r="K66" s="53">
        <f>SUM(B66:J66)</f>
        <v>0</v>
      </c>
      <c r="M66" s="12" t="s">
        <v>92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>
        <f>SUM(N66:U66)</f>
        <v>0</v>
      </c>
    </row>
    <row r="67" spans="1:22" x14ac:dyDescent="0.2">
      <c r="A67" s="8" t="s">
        <v>73</v>
      </c>
      <c r="B67" s="21">
        <v>0</v>
      </c>
      <c r="C67" s="21">
        <f t="shared" ref="C67:J67" si="27">C57</f>
        <v>0</v>
      </c>
      <c r="D67" s="21">
        <f t="shared" si="27"/>
        <v>0</v>
      </c>
      <c r="E67" s="21">
        <f t="shared" si="27"/>
        <v>0</v>
      </c>
      <c r="F67" s="21">
        <f t="shared" si="27"/>
        <v>0</v>
      </c>
      <c r="G67" s="21">
        <f t="shared" si="27"/>
        <v>0</v>
      </c>
      <c r="H67" s="21">
        <f t="shared" si="27"/>
        <v>0</v>
      </c>
      <c r="I67" s="21">
        <f t="shared" si="27"/>
        <v>0</v>
      </c>
      <c r="J67" s="21">
        <f t="shared" si="27"/>
        <v>0</v>
      </c>
      <c r="K67" s="53">
        <f>SUM(B67:J67)</f>
        <v>0</v>
      </c>
      <c r="N67">
        <f>N65+N66</f>
        <v>0</v>
      </c>
      <c r="O67">
        <f t="shared" ref="O67:U67" si="28">O65+O66</f>
        <v>0</v>
      </c>
      <c r="P67">
        <f t="shared" si="28"/>
        <v>0</v>
      </c>
      <c r="Q67">
        <f t="shared" si="28"/>
        <v>0</v>
      </c>
      <c r="R67">
        <f t="shared" si="28"/>
        <v>0</v>
      </c>
      <c r="S67">
        <f t="shared" si="28"/>
        <v>0</v>
      </c>
      <c r="T67">
        <f t="shared" si="28"/>
        <v>0</v>
      </c>
      <c r="U67">
        <f t="shared" si="28"/>
        <v>0</v>
      </c>
    </row>
    <row r="68" spans="1:22" x14ac:dyDescent="0.2">
      <c r="A68" s="8" t="s">
        <v>74</v>
      </c>
      <c r="B68" s="14">
        <v>0</v>
      </c>
      <c r="C68" s="21">
        <v>0</v>
      </c>
      <c r="D68" s="21">
        <v>4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52">
        <f>SUM(B68:J68)</f>
        <v>5</v>
      </c>
    </row>
    <row r="69" spans="1:22" ht="22.5" x14ac:dyDescent="0.2">
      <c r="A69" s="8" t="s">
        <v>75</v>
      </c>
      <c r="B69" s="14">
        <f>SUM(B63-B64-B65-B66-B67-B68)</f>
        <v>1</v>
      </c>
      <c r="C69" s="14">
        <f t="shared" ref="C69:K69" si="29">SUM(C63-C64-C65-C66-C67-C68)</f>
        <v>25</v>
      </c>
      <c r="D69" s="14">
        <f t="shared" si="29"/>
        <v>21</v>
      </c>
      <c r="E69" s="14">
        <f t="shared" si="29"/>
        <v>147</v>
      </c>
      <c r="F69" s="14">
        <f t="shared" si="29"/>
        <v>485</v>
      </c>
      <c r="G69" s="14">
        <f t="shared" si="29"/>
        <v>108</v>
      </c>
      <c r="H69" s="14">
        <f t="shared" si="29"/>
        <v>20</v>
      </c>
      <c r="I69" s="14">
        <f t="shared" si="29"/>
        <v>54</v>
      </c>
      <c r="J69" s="14">
        <f t="shared" si="29"/>
        <v>3</v>
      </c>
      <c r="K69" s="52">
        <f t="shared" si="29"/>
        <v>864</v>
      </c>
    </row>
    <row r="70" spans="1:22" ht="33.75" x14ac:dyDescent="0.2">
      <c r="A70" s="8" t="s">
        <v>76</v>
      </c>
      <c r="B70" s="24">
        <f>SUM((B64*0.75)+(B65*0.75)+(B66*0.5)+(B67*0.5)+ (B68*1.5)+B69)</f>
        <v>1</v>
      </c>
      <c r="C70" s="24">
        <f t="shared" ref="C70:J70" si="30">SUM((C64*0.75)+(C65*0.75)+(C66*0.5)+(C67*0.5)+ (C68*1.5)+C69)</f>
        <v>57.25</v>
      </c>
      <c r="D70" s="24">
        <f t="shared" si="30"/>
        <v>45.75</v>
      </c>
      <c r="E70" s="24">
        <f t="shared" si="30"/>
        <v>232.5</v>
      </c>
      <c r="F70" s="24">
        <f t="shared" si="30"/>
        <v>652.25</v>
      </c>
      <c r="G70" s="24">
        <f t="shared" si="30"/>
        <v>137.25</v>
      </c>
      <c r="H70" s="24">
        <f t="shared" si="30"/>
        <v>25.25</v>
      </c>
      <c r="I70" s="24">
        <f t="shared" si="30"/>
        <v>65.25</v>
      </c>
      <c r="J70" s="24">
        <f t="shared" si="30"/>
        <v>3</v>
      </c>
      <c r="K70" s="54">
        <f>SUM(B70:J70)</f>
        <v>1219.5</v>
      </c>
    </row>
    <row r="71" spans="1:22" x14ac:dyDescent="0.2">
      <c r="A71" s="8" t="s">
        <v>77</v>
      </c>
      <c r="B71" s="26" t="s">
        <v>21</v>
      </c>
      <c r="C71" s="26" t="s">
        <v>22</v>
      </c>
      <c r="D71" s="27" t="s">
        <v>23</v>
      </c>
      <c r="E71" s="27" t="s">
        <v>24</v>
      </c>
      <c r="F71" s="27">
        <v>1</v>
      </c>
      <c r="G71" s="27" t="s">
        <v>25</v>
      </c>
      <c r="H71" s="27" t="s">
        <v>26</v>
      </c>
      <c r="I71" s="27" t="s">
        <v>27</v>
      </c>
      <c r="J71" s="27" t="s">
        <v>28</v>
      </c>
      <c r="K71" s="50"/>
    </row>
    <row r="72" spans="1:22" x14ac:dyDescent="0.2">
      <c r="A72" s="8"/>
      <c r="B72" s="26"/>
      <c r="C72" s="26"/>
      <c r="D72" s="27"/>
      <c r="E72" s="27"/>
      <c r="F72" s="27"/>
      <c r="G72" s="27"/>
      <c r="H72" s="27"/>
      <c r="I72" s="27"/>
      <c r="J72" s="27"/>
      <c r="K72" s="50"/>
    </row>
    <row r="73" spans="1:22" ht="15" x14ac:dyDescent="0.25">
      <c r="A73" s="8" t="s">
        <v>78</v>
      </c>
      <c r="B73" s="28">
        <f>ROUND(B70/9*5,2)</f>
        <v>0.56000000000000005</v>
      </c>
      <c r="C73" s="28">
        <f>ROUND(C70/9*6,2)</f>
        <v>38.17</v>
      </c>
      <c r="D73" s="28">
        <f>ROUND(D70/9*7,2)</f>
        <v>35.58</v>
      </c>
      <c r="E73" s="28">
        <f>ROUND(E70/9*8,2)</f>
        <v>206.67</v>
      </c>
      <c r="F73" s="28">
        <f>ROUND(F70*F71,2)</f>
        <v>652.25</v>
      </c>
      <c r="G73" s="28">
        <f>ROUND(G70/9*11,2)</f>
        <v>167.75</v>
      </c>
      <c r="H73" s="28">
        <f>ROUND(H70/9*13,2)</f>
        <v>36.47</v>
      </c>
      <c r="I73" s="28">
        <f>ROUND(I70/9*15,2)</f>
        <v>108.75</v>
      </c>
      <c r="J73" s="28">
        <f>ROUND(J70/9*18,2)</f>
        <v>6</v>
      </c>
      <c r="K73" s="54">
        <f>SUM(B73:J73)</f>
        <v>1252.2</v>
      </c>
    </row>
    <row r="74" spans="1:22" ht="23.25" x14ac:dyDescent="0.25">
      <c r="A74" s="8" t="s">
        <v>89</v>
      </c>
      <c r="B74" s="55"/>
      <c r="C74" s="51"/>
      <c r="D74" s="51"/>
      <c r="E74" s="51"/>
      <c r="F74" s="51"/>
      <c r="G74" s="51"/>
      <c r="H74" s="51"/>
      <c r="I74" s="51"/>
      <c r="J74" s="51"/>
      <c r="K74" s="56">
        <v>0</v>
      </c>
    </row>
    <row r="75" spans="1:22" ht="23.25" x14ac:dyDescent="0.25">
      <c r="A75" s="8" t="s">
        <v>79</v>
      </c>
      <c r="B75" s="55"/>
      <c r="C75" s="51"/>
      <c r="D75" s="51"/>
      <c r="E75" s="51"/>
      <c r="F75" s="51"/>
      <c r="G75" s="51"/>
      <c r="H75" s="51"/>
      <c r="I75" s="51"/>
      <c r="J75" s="51"/>
      <c r="K75" s="54">
        <f>SUM(K73+K74)</f>
        <v>1252.2</v>
      </c>
    </row>
    <row r="76" spans="1:22" ht="16.5" thickBot="1" x14ac:dyDescent="0.3">
      <c r="A76" s="34" t="s">
        <v>90</v>
      </c>
      <c r="B76" s="57"/>
      <c r="C76" s="58"/>
      <c r="D76" s="58"/>
      <c r="E76" s="58"/>
      <c r="F76" s="58"/>
      <c r="G76" s="58"/>
      <c r="H76" s="58"/>
      <c r="I76" s="58"/>
      <c r="J76" s="58"/>
      <c r="K76" s="59">
        <f>K75/100*97.5</f>
        <v>1220.895</v>
      </c>
    </row>
    <row r="77" spans="1:22" ht="15.75" x14ac:dyDescent="0.25">
      <c r="A77" s="1" t="s">
        <v>80</v>
      </c>
      <c r="D77" s="2" t="s">
        <v>32</v>
      </c>
      <c r="K77" s="62"/>
    </row>
    <row r="78" spans="1:22" ht="16.5" thickBot="1" x14ac:dyDescent="0.3">
      <c r="C78" s="1" t="s">
        <v>81</v>
      </c>
      <c r="K78" s="62"/>
    </row>
    <row r="79" spans="1:22" x14ac:dyDescent="0.2">
      <c r="A79" s="4" t="s">
        <v>0</v>
      </c>
      <c r="B79" s="64" t="s">
        <v>1</v>
      </c>
      <c r="C79" s="65" t="s">
        <v>2</v>
      </c>
      <c r="D79" s="65" t="s">
        <v>3</v>
      </c>
      <c r="E79" s="65" t="s">
        <v>4</v>
      </c>
      <c r="F79" s="65" t="s">
        <v>5</v>
      </c>
      <c r="G79" s="65" t="s">
        <v>6</v>
      </c>
      <c r="H79" s="65" t="s">
        <v>7</v>
      </c>
      <c r="I79" s="65" t="s">
        <v>8</v>
      </c>
      <c r="J79" s="65" t="s">
        <v>9</v>
      </c>
      <c r="K79" s="66" t="s">
        <v>10</v>
      </c>
    </row>
    <row r="80" spans="1:22" x14ac:dyDescent="0.2">
      <c r="A80" s="8" t="s">
        <v>34</v>
      </c>
      <c r="B80" s="9"/>
      <c r="C80" s="10">
        <v>15</v>
      </c>
      <c r="D80" s="10">
        <v>281</v>
      </c>
      <c r="E80" s="10">
        <v>274</v>
      </c>
      <c r="F80" s="10">
        <v>990</v>
      </c>
      <c r="G80" s="10">
        <v>103</v>
      </c>
      <c r="H80" s="10">
        <v>90</v>
      </c>
      <c r="I80" s="10">
        <v>21</v>
      </c>
      <c r="J80" s="10">
        <v>0</v>
      </c>
      <c r="K80" s="46">
        <f>SUM(B80:J80)</f>
        <v>1774</v>
      </c>
    </row>
    <row r="81" spans="1:22" x14ac:dyDescent="0.2">
      <c r="A81" s="8" t="s">
        <v>72</v>
      </c>
      <c r="B81" s="9"/>
      <c r="C81" s="77"/>
      <c r="D81" s="77"/>
      <c r="E81" s="77"/>
      <c r="F81" s="77"/>
      <c r="G81" s="77"/>
      <c r="H81" s="77"/>
      <c r="I81" s="77"/>
      <c r="J81" s="77"/>
      <c r="K81" s="48">
        <f>SUM(C81:J81)</f>
        <v>0</v>
      </c>
      <c r="M81" s="12" t="s">
        <v>44</v>
      </c>
      <c r="N81" s="12" t="s">
        <v>43</v>
      </c>
      <c r="O81" s="43"/>
      <c r="P81" s="12" t="s">
        <v>12</v>
      </c>
      <c r="Q81" s="15" t="s">
        <v>45</v>
      </c>
      <c r="R81" s="15" t="s">
        <v>43</v>
      </c>
      <c r="S81" s="43">
        <v>41958</v>
      </c>
    </row>
    <row r="82" spans="1:22" x14ac:dyDescent="0.2">
      <c r="A82" s="8" t="s">
        <v>83</v>
      </c>
      <c r="B82" s="9"/>
      <c r="C82" s="78"/>
      <c r="D82" s="78"/>
      <c r="E82" s="78"/>
      <c r="F82" s="78"/>
      <c r="G82" s="78"/>
      <c r="H82" s="78"/>
      <c r="I82" s="78"/>
      <c r="J82" s="78"/>
      <c r="K82" s="50">
        <f>SUM(B82:J82)</f>
        <v>0</v>
      </c>
      <c r="N82">
        <v>3</v>
      </c>
      <c r="O82">
        <v>4</v>
      </c>
      <c r="P82">
        <v>7</v>
      </c>
      <c r="Q82">
        <v>16</v>
      </c>
      <c r="R82">
        <v>1</v>
      </c>
      <c r="S82">
        <v>2</v>
      </c>
      <c r="T82">
        <v>0</v>
      </c>
      <c r="U82">
        <v>0</v>
      </c>
      <c r="V82">
        <f>SUM(N82:U82)</f>
        <v>33</v>
      </c>
    </row>
    <row r="83" spans="1:22" x14ac:dyDescent="0.2">
      <c r="A83" s="8" t="s">
        <v>84</v>
      </c>
      <c r="B83" s="9"/>
      <c r="C83" s="10">
        <f>N84</f>
        <v>3</v>
      </c>
      <c r="D83" s="10">
        <f t="shared" ref="D83:J83" si="31">O84</f>
        <v>5</v>
      </c>
      <c r="E83" s="10">
        <f t="shared" si="31"/>
        <v>7</v>
      </c>
      <c r="F83" s="10">
        <f t="shared" si="31"/>
        <v>16</v>
      </c>
      <c r="G83" s="10">
        <f t="shared" si="31"/>
        <v>1</v>
      </c>
      <c r="H83" s="10">
        <f t="shared" si="31"/>
        <v>2</v>
      </c>
      <c r="I83" s="10">
        <f t="shared" si="31"/>
        <v>0</v>
      </c>
      <c r="J83" s="10">
        <f t="shared" si="31"/>
        <v>0</v>
      </c>
      <c r="K83" s="46">
        <f>SUM(C83:J83)</f>
        <v>34</v>
      </c>
      <c r="N83" s="81">
        <v>0</v>
      </c>
      <c r="O83" s="81">
        <v>1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>
        <f>SUM(N83:U83)</f>
        <v>1</v>
      </c>
    </row>
    <row r="84" spans="1:22" x14ac:dyDescent="0.2">
      <c r="A84" s="8" t="s">
        <v>13</v>
      </c>
      <c r="B84" s="9"/>
      <c r="C84" s="80">
        <v>0</v>
      </c>
      <c r="D84" s="80">
        <v>85</v>
      </c>
      <c r="E84" s="80">
        <v>42</v>
      </c>
      <c r="F84" s="80">
        <v>54</v>
      </c>
      <c r="G84" s="80">
        <v>4</v>
      </c>
      <c r="H84" s="80">
        <v>2</v>
      </c>
      <c r="I84" s="80">
        <v>0</v>
      </c>
      <c r="J84" s="80">
        <v>0</v>
      </c>
      <c r="K84" s="46">
        <f>SUM(C84:J84)</f>
        <v>187</v>
      </c>
      <c r="L84" s="12"/>
      <c r="N84">
        <f>N82+N83</f>
        <v>3</v>
      </c>
      <c r="O84">
        <f t="shared" ref="O84:U84" si="32">O82+O83</f>
        <v>5</v>
      </c>
      <c r="P84">
        <f t="shared" si="32"/>
        <v>7</v>
      </c>
      <c r="Q84">
        <f t="shared" si="32"/>
        <v>16</v>
      </c>
      <c r="R84">
        <f t="shared" si="32"/>
        <v>1</v>
      </c>
      <c r="S84">
        <f t="shared" si="32"/>
        <v>2</v>
      </c>
      <c r="T84">
        <f t="shared" si="32"/>
        <v>0</v>
      </c>
      <c r="U84">
        <f t="shared" si="32"/>
        <v>0</v>
      </c>
    </row>
    <row r="85" spans="1:22" ht="22.5" x14ac:dyDescent="0.2">
      <c r="A85" s="8" t="s">
        <v>85</v>
      </c>
      <c r="B85" s="9"/>
      <c r="C85" s="14">
        <f>C80+C81+C82-C83-C84</f>
        <v>12</v>
      </c>
      <c r="D85" s="14">
        <f t="shared" ref="D85:J85" si="33">D80+D81+D82-D83-D84</f>
        <v>191</v>
      </c>
      <c r="E85" s="14">
        <f t="shared" si="33"/>
        <v>225</v>
      </c>
      <c r="F85" s="14">
        <f t="shared" si="33"/>
        <v>920</v>
      </c>
      <c r="G85" s="14">
        <f t="shared" si="33"/>
        <v>98</v>
      </c>
      <c r="H85" s="14">
        <f t="shared" si="33"/>
        <v>86</v>
      </c>
      <c r="I85" s="14">
        <f t="shared" si="33"/>
        <v>21</v>
      </c>
      <c r="J85" s="14">
        <f t="shared" si="33"/>
        <v>0</v>
      </c>
      <c r="K85" s="46">
        <f>K80+K81+K82-K83-K84</f>
        <v>1553</v>
      </c>
    </row>
    <row r="86" spans="1:22" ht="22.5" x14ac:dyDescent="0.2">
      <c r="A86" s="8" t="s">
        <v>86</v>
      </c>
      <c r="B86" s="9"/>
      <c r="C86" s="14">
        <v>0</v>
      </c>
      <c r="D86" s="14">
        <v>0</v>
      </c>
      <c r="E86" s="14">
        <v>2</v>
      </c>
      <c r="F86" s="14">
        <v>4</v>
      </c>
      <c r="G86" s="14">
        <v>0</v>
      </c>
      <c r="H86" s="14">
        <v>0</v>
      </c>
      <c r="I86" s="14">
        <v>0</v>
      </c>
      <c r="J86" s="14">
        <v>0</v>
      </c>
      <c r="K86" s="50">
        <f>SUM(C86:J86)</f>
        <v>6</v>
      </c>
    </row>
    <row r="87" spans="1:22" ht="33.75" x14ac:dyDescent="0.2">
      <c r="A87" s="8" t="s">
        <v>15</v>
      </c>
      <c r="B87" s="16">
        <f t="shared" ref="B87:I87" si="34">C86</f>
        <v>0</v>
      </c>
      <c r="C87" s="16">
        <f t="shared" si="34"/>
        <v>0</v>
      </c>
      <c r="D87" s="16">
        <f t="shared" si="34"/>
        <v>2</v>
      </c>
      <c r="E87" s="16">
        <f t="shared" si="34"/>
        <v>4</v>
      </c>
      <c r="F87" s="16">
        <f t="shared" si="34"/>
        <v>0</v>
      </c>
      <c r="G87" s="16">
        <f t="shared" si="34"/>
        <v>0</v>
      </c>
      <c r="H87" s="16">
        <f t="shared" si="34"/>
        <v>0</v>
      </c>
      <c r="I87" s="16">
        <f t="shared" si="34"/>
        <v>0</v>
      </c>
      <c r="J87" s="9"/>
      <c r="K87" s="50">
        <f>SUM(B87:I87)</f>
        <v>6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2.5" x14ac:dyDescent="0.2">
      <c r="A88" s="8" t="s">
        <v>16</v>
      </c>
      <c r="B88" s="18">
        <f t="shared" ref="B88:K88" si="35">SUM(B85-B86+B87)</f>
        <v>0</v>
      </c>
      <c r="C88" s="18">
        <f t="shared" si="35"/>
        <v>12</v>
      </c>
      <c r="D88" s="18">
        <f t="shared" si="35"/>
        <v>193</v>
      </c>
      <c r="E88" s="18">
        <f t="shared" si="35"/>
        <v>227</v>
      </c>
      <c r="F88" s="18">
        <f t="shared" si="35"/>
        <v>916</v>
      </c>
      <c r="G88" s="18">
        <f t="shared" si="35"/>
        <v>98</v>
      </c>
      <c r="H88" s="18">
        <f t="shared" si="35"/>
        <v>86</v>
      </c>
      <c r="I88" s="18">
        <f t="shared" si="35"/>
        <v>21</v>
      </c>
      <c r="J88" s="18">
        <f t="shared" si="35"/>
        <v>0</v>
      </c>
      <c r="K88" s="52">
        <f t="shared" si="35"/>
        <v>1553</v>
      </c>
    </row>
    <row r="89" spans="1:22" ht="22.5" x14ac:dyDescent="0.2">
      <c r="A89" s="8" t="s">
        <v>91</v>
      </c>
      <c r="B89" s="14">
        <v>0</v>
      </c>
      <c r="C89" s="20">
        <v>0</v>
      </c>
      <c r="D89" s="20">
        <v>0</v>
      </c>
      <c r="E89" s="20">
        <v>1</v>
      </c>
      <c r="F89" s="20">
        <v>2</v>
      </c>
      <c r="G89" s="20">
        <v>0</v>
      </c>
      <c r="H89" s="20">
        <v>0</v>
      </c>
      <c r="I89" s="20">
        <v>0</v>
      </c>
      <c r="J89" s="20">
        <f>0+0</f>
        <v>0</v>
      </c>
      <c r="K89" s="52">
        <f>SUM(B89:J89)</f>
        <v>3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22.5" x14ac:dyDescent="0.2">
      <c r="A90" s="8" t="s">
        <v>87</v>
      </c>
      <c r="B90" s="14">
        <v>0</v>
      </c>
      <c r="C90" s="14">
        <f>11+0</f>
        <v>11</v>
      </c>
      <c r="D90" s="14">
        <f>161+2</f>
        <v>163</v>
      </c>
      <c r="E90" s="14">
        <f>93+7</f>
        <v>100</v>
      </c>
      <c r="F90" s="14">
        <f>200+11</f>
        <v>211</v>
      </c>
      <c r="G90" s="14">
        <f>19+2</f>
        <v>21</v>
      </c>
      <c r="H90" s="14">
        <f>14+2</f>
        <v>16</v>
      </c>
      <c r="I90" s="14">
        <f>3+0</f>
        <v>3</v>
      </c>
      <c r="J90" s="14">
        <f>0+0</f>
        <v>0</v>
      </c>
      <c r="K90" s="52">
        <f>SUM(B90:J90)</f>
        <v>525</v>
      </c>
      <c r="M90" s="12" t="s">
        <v>93</v>
      </c>
      <c r="N90">
        <v>0</v>
      </c>
      <c r="O90">
        <v>0</v>
      </c>
      <c r="P90">
        <v>1</v>
      </c>
      <c r="Q90">
        <v>0</v>
      </c>
      <c r="R90">
        <v>1</v>
      </c>
      <c r="S90">
        <v>0</v>
      </c>
      <c r="T90">
        <v>0</v>
      </c>
      <c r="U90">
        <v>0</v>
      </c>
      <c r="V90">
        <f>SUM(N90:U90)</f>
        <v>2</v>
      </c>
    </row>
    <row r="91" spans="1:22" ht="22.5" x14ac:dyDescent="0.2">
      <c r="A91" s="8" t="s">
        <v>88</v>
      </c>
      <c r="B91" s="21">
        <v>0</v>
      </c>
      <c r="C91" s="21">
        <f>N92</f>
        <v>0</v>
      </c>
      <c r="D91" s="21">
        <f t="shared" ref="D91:J91" si="36">O92</f>
        <v>0</v>
      </c>
      <c r="E91" s="21">
        <f t="shared" si="36"/>
        <v>1</v>
      </c>
      <c r="F91" s="21">
        <f t="shared" si="36"/>
        <v>0</v>
      </c>
      <c r="G91" s="21">
        <f t="shared" si="36"/>
        <v>1</v>
      </c>
      <c r="H91" s="21">
        <f t="shared" si="36"/>
        <v>0</v>
      </c>
      <c r="I91" s="21">
        <f t="shared" si="36"/>
        <v>0</v>
      </c>
      <c r="J91" s="21">
        <f t="shared" si="36"/>
        <v>0</v>
      </c>
      <c r="K91" s="53">
        <f>SUM(B91:J91)</f>
        <v>2</v>
      </c>
      <c r="M91" s="12" t="s">
        <v>92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>
        <f>SUM(N91:U91)</f>
        <v>0</v>
      </c>
    </row>
    <row r="92" spans="1:22" x14ac:dyDescent="0.2">
      <c r="A92" s="8" t="s">
        <v>73</v>
      </c>
      <c r="B92" s="21">
        <v>0</v>
      </c>
      <c r="C92" s="21">
        <f t="shared" ref="C92:J92" si="37">C82</f>
        <v>0</v>
      </c>
      <c r="D92" s="21">
        <f t="shared" si="37"/>
        <v>0</v>
      </c>
      <c r="E92" s="21">
        <f t="shared" si="37"/>
        <v>0</v>
      </c>
      <c r="F92" s="21">
        <f t="shared" si="37"/>
        <v>0</v>
      </c>
      <c r="G92" s="21">
        <f t="shared" si="37"/>
        <v>0</v>
      </c>
      <c r="H92" s="21">
        <f t="shared" si="37"/>
        <v>0</v>
      </c>
      <c r="I92" s="21">
        <f t="shared" si="37"/>
        <v>0</v>
      </c>
      <c r="J92" s="21">
        <f t="shared" si="37"/>
        <v>0</v>
      </c>
      <c r="K92" s="53">
        <f>SUM(B92:J92)</f>
        <v>0</v>
      </c>
      <c r="N92">
        <f>N90+N91</f>
        <v>0</v>
      </c>
      <c r="O92">
        <f t="shared" ref="O92:U92" si="38">O90+O91</f>
        <v>0</v>
      </c>
      <c r="P92">
        <f t="shared" si="38"/>
        <v>1</v>
      </c>
      <c r="Q92">
        <f t="shared" si="38"/>
        <v>0</v>
      </c>
      <c r="R92">
        <f t="shared" si="38"/>
        <v>1</v>
      </c>
      <c r="S92">
        <f t="shared" si="38"/>
        <v>0</v>
      </c>
      <c r="T92">
        <f t="shared" si="38"/>
        <v>0</v>
      </c>
      <c r="U92">
        <f t="shared" si="38"/>
        <v>0</v>
      </c>
    </row>
    <row r="93" spans="1:22" x14ac:dyDescent="0.2">
      <c r="A93" s="8" t="s">
        <v>74</v>
      </c>
      <c r="B93" s="14">
        <v>0</v>
      </c>
      <c r="C93" s="21">
        <v>0</v>
      </c>
      <c r="D93" s="21">
        <v>4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52">
        <f>SUM(B93:J93)</f>
        <v>5</v>
      </c>
    </row>
    <row r="94" spans="1:22" ht="22.5" x14ac:dyDescent="0.2">
      <c r="A94" s="8" t="s">
        <v>75</v>
      </c>
      <c r="B94" s="14">
        <f>SUM(B88-B89-B90-B91-B92-B93)</f>
        <v>0</v>
      </c>
      <c r="C94" s="14">
        <f t="shared" ref="C94:K94" si="39">SUM(C88-C89-C90-C91-C92-C93)</f>
        <v>1</v>
      </c>
      <c r="D94" s="14">
        <f t="shared" si="39"/>
        <v>26</v>
      </c>
      <c r="E94" s="14">
        <f t="shared" si="39"/>
        <v>124</v>
      </c>
      <c r="F94" s="14">
        <f t="shared" si="39"/>
        <v>703</v>
      </c>
      <c r="G94" s="14">
        <f t="shared" si="39"/>
        <v>76</v>
      </c>
      <c r="H94" s="14">
        <f t="shared" si="39"/>
        <v>70</v>
      </c>
      <c r="I94" s="14">
        <f t="shared" si="39"/>
        <v>18</v>
      </c>
      <c r="J94" s="14">
        <f t="shared" si="39"/>
        <v>0</v>
      </c>
      <c r="K94" s="52">
        <f t="shared" si="39"/>
        <v>1018</v>
      </c>
    </row>
    <row r="95" spans="1:22" ht="33.75" x14ac:dyDescent="0.2">
      <c r="A95" s="8" t="s">
        <v>76</v>
      </c>
      <c r="B95" s="24">
        <f>SUM((B89*0.75)+(B90*0.75)+(B91*0.5)+(B92*0.5)+ (B93*1.5)+B94)</f>
        <v>0</v>
      </c>
      <c r="C95" s="24">
        <f t="shared" ref="C95:J95" si="40">SUM((C89*0.75)+(C90*0.75)+(C91*0.5)+(C92*0.5)+ (C93*1.5)+C94)</f>
        <v>9.25</v>
      </c>
      <c r="D95" s="24">
        <f t="shared" si="40"/>
        <v>154.25</v>
      </c>
      <c r="E95" s="24">
        <f t="shared" si="40"/>
        <v>201.75</v>
      </c>
      <c r="F95" s="24">
        <f t="shared" si="40"/>
        <v>862.75</v>
      </c>
      <c r="G95" s="24">
        <f t="shared" si="40"/>
        <v>92.25</v>
      </c>
      <c r="H95" s="24">
        <f t="shared" si="40"/>
        <v>82</v>
      </c>
      <c r="I95" s="24">
        <f t="shared" si="40"/>
        <v>20.25</v>
      </c>
      <c r="J95" s="24">
        <f t="shared" si="40"/>
        <v>0</v>
      </c>
      <c r="K95" s="54">
        <f>SUM(B95:J95)</f>
        <v>1422.5</v>
      </c>
    </row>
    <row r="96" spans="1:22" x14ac:dyDescent="0.2">
      <c r="A96" s="8" t="s">
        <v>77</v>
      </c>
      <c r="B96" s="26" t="s">
        <v>21</v>
      </c>
      <c r="C96" s="26" t="s">
        <v>22</v>
      </c>
      <c r="D96" s="27" t="s">
        <v>23</v>
      </c>
      <c r="E96" s="27" t="s">
        <v>24</v>
      </c>
      <c r="F96" s="27">
        <v>1</v>
      </c>
      <c r="G96" s="27" t="s">
        <v>25</v>
      </c>
      <c r="H96" s="27" t="s">
        <v>26</v>
      </c>
      <c r="I96" s="27" t="s">
        <v>27</v>
      </c>
      <c r="J96" s="27" t="s">
        <v>28</v>
      </c>
      <c r="K96" s="50"/>
    </row>
    <row r="97" spans="1:22" x14ac:dyDescent="0.2">
      <c r="A97" s="8"/>
      <c r="B97" s="26"/>
      <c r="C97" s="26"/>
      <c r="D97" s="27"/>
      <c r="E97" s="27"/>
      <c r="F97" s="27"/>
      <c r="G97" s="27"/>
      <c r="H97" s="27"/>
      <c r="I97" s="27"/>
      <c r="J97" s="27"/>
      <c r="K97" s="50"/>
    </row>
    <row r="98" spans="1:22" ht="15" x14ac:dyDescent="0.25">
      <c r="A98" s="8" t="s">
        <v>78</v>
      </c>
      <c r="B98" s="28">
        <f>ROUND(B95/9*5,2)</f>
        <v>0</v>
      </c>
      <c r="C98" s="28">
        <f>ROUND(C95/9*6,2)</f>
        <v>6.17</v>
      </c>
      <c r="D98" s="28">
        <f>ROUND(D95/9*7,2)</f>
        <v>119.97</v>
      </c>
      <c r="E98" s="28">
        <f>ROUND(E95/9*8,2)</f>
        <v>179.33</v>
      </c>
      <c r="F98" s="28">
        <f>ROUND(F95*F96,2)</f>
        <v>862.75</v>
      </c>
      <c r="G98" s="28">
        <f>ROUND(G95/9*11,2)</f>
        <v>112.75</v>
      </c>
      <c r="H98" s="28">
        <f>ROUND(H95/9*13,2)</f>
        <v>118.44</v>
      </c>
      <c r="I98" s="28">
        <f>ROUND(I95/9*15,2)</f>
        <v>33.75</v>
      </c>
      <c r="J98" s="28">
        <f>ROUND(J95/9*18,2)</f>
        <v>0</v>
      </c>
      <c r="K98" s="54">
        <f>SUM(B98:J98)</f>
        <v>1433.16</v>
      </c>
    </row>
    <row r="99" spans="1:22" ht="23.25" x14ac:dyDescent="0.25">
      <c r="A99" s="8" t="s">
        <v>89</v>
      </c>
      <c r="B99" s="55"/>
      <c r="C99" s="51"/>
      <c r="D99" s="51"/>
      <c r="E99" s="51"/>
      <c r="F99" s="51"/>
      <c r="G99" s="51"/>
      <c r="H99" s="51"/>
      <c r="I99" s="51"/>
      <c r="J99" s="51"/>
      <c r="K99" s="56">
        <v>0</v>
      </c>
    </row>
    <row r="100" spans="1:22" ht="23.25" x14ac:dyDescent="0.25">
      <c r="A100" s="8" t="s">
        <v>79</v>
      </c>
      <c r="B100" s="55"/>
      <c r="C100" s="51"/>
      <c r="D100" s="51"/>
      <c r="E100" s="51"/>
      <c r="F100" s="51"/>
      <c r="G100" s="51"/>
      <c r="H100" s="51"/>
      <c r="I100" s="51"/>
      <c r="J100" s="51"/>
      <c r="K100" s="54">
        <f>SUM(K98+K99)</f>
        <v>1433.16</v>
      </c>
    </row>
    <row r="101" spans="1:22" ht="16.5" thickBot="1" x14ac:dyDescent="0.3">
      <c r="A101" s="34" t="s">
        <v>90</v>
      </c>
      <c r="B101" s="57"/>
      <c r="C101" s="58"/>
      <c r="D101" s="58"/>
      <c r="E101" s="58"/>
      <c r="F101" s="58"/>
      <c r="G101" s="58"/>
      <c r="H101" s="58"/>
      <c r="I101" s="58"/>
      <c r="J101" s="58"/>
      <c r="K101" s="59">
        <v>1397.4</v>
      </c>
    </row>
    <row r="102" spans="1:22" ht="15.75" x14ac:dyDescent="0.25">
      <c r="A102" s="1" t="s">
        <v>80</v>
      </c>
      <c r="D102" s="2" t="s">
        <v>32</v>
      </c>
      <c r="K102" s="62"/>
    </row>
    <row r="103" spans="1:22" ht="16.5" thickBot="1" x14ac:dyDescent="0.3">
      <c r="D103" s="1" t="s">
        <v>58</v>
      </c>
      <c r="K103" s="62"/>
    </row>
    <row r="104" spans="1:22" x14ac:dyDescent="0.2">
      <c r="A104" s="4" t="s">
        <v>0</v>
      </c>
      <c r="B104" s="5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6" t="s">
        <v>6</v>
      </c>
      <c r="H104" s="6" t="s">
        <v>7</v>
      </c>
      <c r="I104" s="6" t="s">
        <v>8</v>
      </c>
      <c r="J104" s="6" t="s">
        <v>9</v>
      </c>
      <c r="K104" s="63" t="s">
        <v>10</v>
      </c>
    </row>
    <row r="105" spans="1:22" x14ac:dyDescent="0.2">
      <c r="A105" s="8" t="s">
        <v>34</v>
      </c>
      <c r="B105" s="67"/>
      <c r="C105" s="10">
        <v>279</v>
      </c>
      <c r="D105" s="10">
        <v>1278</v>
      </c>
      <c r="E105" s="10">
        <v>2952</v>
      </c>
      <c r="F105" s="10">
        <v>448</v>
      </c>
      <c r="G105" s="10">
        <v>46</v>
      </c>
      <c r="H105" s="10">
        <v>1</v>
      </c>
      <c r="I105" s="10">
        <v>0</v>
      </c>
      <c r="J105" s="10">
        <v>2</v>
      </c>
      <c r="K105" s="46">
        <f>SUM(B105:J105)</f>
        <v>5006</v>
      </c>
    </row>
    <row r="106" spans="1:22" x14ac:dyDescent="0.2">
      <c r="A106" s="8" t="s">
        <v>72</v>
      </c>
      <c r="B106" s="67"/>
      <c r="C106" s="68"/>
      <c r="D106" s="68"/>
      <c r="E106" s="68"/>
      <c r="F106" s="68"/>
      <c r="G106" s="68"/>
      <c r="H106" s="68"/>
      <c r="I106" s="68"/>
      <c r="J106" s="68"/>
      <c r="K106" s="46">
        <f>SUM(C106:J106)</f>
        <v>0</v>
      </c>
      <c r="M106" s="12" t="s">
        <v>44</v>
      </c>
      <c r="N106" s="12" t="s">
        <v>43</v>
      </c>
      <c r="O106" s="43"/>
      <c r="P106" s="12" t="s">
        <v>12</v>
      </c>
      <c r="Q106" s="15" t="s">
        <v>45</v>
      </c>
      <c r="R106" s="15" t="s">
        <v>43</v>
      </c>
      <c r="S106" s="43">
        <v>41958</v>
      </c>
    </row>
    <row r="107" spans="1:22" x14ac:dyDescent="0.2">
      <c r="A107" s="8" t="s">
        <v>83</v>
      </c>
      <c r="B107" s="67"/>
      <c r="C107" s="69"/>
      <c r="D107" s="69"/>
      <c r="E107" s="69"/>
      <c r="F107" s="69"/>
      <c r="G107" s="69"/>
      <c r="H107" s="69"/>
      <c r="I107" s="69"/>
      <c r="J107" s="69"/>
      <c r="K107" s="46">
        <f>SUM(B107:J107)</f>
        <v>0</v>
      </c>
      <c r="N107">
        <v>3</v>
      </c>
      <c r="O107">
        <v>22</v>
      </c>
      <c r="P107">
        <v>21</v>
      </c>
      <c r="Q107">
        <v>4</v>
      </c>
      <c r="R107">
        <v>0</v>
      </c>
      <c r="S107">
        <v>0</v>
      </c>
      <c r="T107">
        <v>0</v>
      </c>
      <c r="U107">
        <v>0</v>
      </c>
      <c r="V107">
        <f>SUM(N107:U107)</f>
        <v>50</v>
      </c>
    </row>
    <row r="108" spans="1:22" x14ac:dyDescent="0.2">
      <c r="A108" s="8" t="s">
        <v>84</v>
      </c>
      <c r="B108" s="67"/>
      <c r="C108" s="10">
        <f>N109</f>
        <v>3</v>
      </c>
      <c r="D108" s="10">
        <f t="shared" ref="D108:J108" si="41">O109</f>
        <v>23</v>
      </c>
      <c r="E108" s="10">
        <f t="shared" si="41"/>
        <v>23</v>
      </c>
      <c r="F108" s="10">
        <f t="shared" si="41"/>
        <v>4</v>
      </c>
      <c r="G108" s="10">
        <f t="shared" si="41"/>
        <v>0</v>
      </c>
      <c r="H108" s="10">
        <f t="shared" si="41"/>
        <v>0</v>
      </c>
      <c r="I108" s="10">
        <f t="shared" si="41"/>
        <v>0</v>
      </c>
      <c r="J108" s="10">
        <f t="shared" si="41"/>
        <v>0</v>
      </c>
      <c r="K108" s="46">
        <f>SUM(C108:J108)</f>
        <v>53</v>
      </c>
      <c r="N108" s="81">
        <v>0</v>
      </c>
      <c r="O108" s="81">
        <v>1</v>
      </c>
      <c r="P108" s="81">
        <v>2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>
        <f>SUM(N108:U108)</f>
        <v>3</v>
      </c>
    </row>
    <row r="109" spans="1:22" x14ac:dyDescent="0.2">
      <c r="A109" s="8" t="s">
        <v>13</v>
      </c>
      <c r="B109" s="67"/>
      <c r="C109" s="80">
        <v>134</v>
      </c>
      <c r="D109" s="80">
        <v>456</v>
      </c>
      <c r="E109" s="80">
        <v>583</v>
      </c>
      <c r="F109" s="80">
        <v>98</v>
      </c>
      <c r="G109" s="80">
        <v>15</v>
      </c>
      <c r="H109" s="80">
        <v>1</v>
      </c>
      <c r="I109" s="80">
        <v>0</v>
      </c>
      <c r="J109" s="80">
        <v>0</v>
      </c>
      <c r="K109" s="46">
        <f>SUM(C109:J109)</f>
        <v>1287</v>
      </c>
      <c r="L109" s="12"/>
      <c r="N109">
        <f>N107+N108</f>
        <v>3</v>
      </c>
      <c r="O109">
        <f t="shared" ref="O109:U109" si="42">O107+O108</f>
        <v>23</v>
      </c>
      <c r="P109">
        <f t="shared" si="42"/>
        <v>23</v>
      </c>
      <c r="Q109">
        <f t="shared" si="42"/>
        <v>4</v>
      </c>
      <c r="R109">
        <f t="shared" si="42"/>
        <v>0</v>
      </c>
      <c r="S109">
        <f t="shared" si="42"/>
        <v>0</v>
      </c>
      <c r="T109">
        <f t="shared" si="42"/>
        <v>0</v>
      </c>
      <c r="U109">
        <f t="shared" si="42"/>
        <v>0</v>
      </c>
    </row>
    <row r="110" spans="1:22" ht="22.5" x14ac:dyDescent="0.2">
      <c r="A110" s="8" t="s">
        <v>85</v>
      </c>
      <c r="B110" s="67"/>
      <c r="C110" s="79">
        <f>C105+C106+C107-C108-C109</f>
        <v>142</v>
      </c>
      <c r="D110" s="79">
        <f t="shared" ref="D110:J110" si="43">D105+D106+D107-D108-D109</f>
        <v>799</v>
      </c>
      <c r="E110" s="14">
        <f t="shared" si="43"/>
        <v>2346</v>
      </c>
      <c r="F110" s="79">
        <f t="shared" si="43"/>
        <v>346</v>
      </c>
      <c r="G110" s="79">
        <f t="shared" si="43"/>
        <v>31</v>
      </c>
      <c r="H110" s="79">
        <f t="shared" si="43"/>
        <v>0</v>
      </c>
      <c r="I110" s="79">
        <f t="shared" si="43"/>
        <v>0</v>
      </c>
      <c r="J110" s="79">
        <f t="shared" si="43"/>
        <v>2</v>
      </c>
      <c r="K110" s="46">
        <f>K105+K106+K107-K108-K109</f>
        <v>3666</v>
      </c>
    </row>
    <row r="111" spans="1:22" ht="22.5" x14ac:dyDescent="0.2">
      <c r="A111" s="8" t="s">
        <v>86</v>
      </c>
      <c r="B111" s="67"/>
      <c r="C111" s="14">
        <v>0</v>
      </c>
      <c r="D111" s="14">
        <v>3</v>
      </c>
      <c r="E111" s="14">
        <v>15</v>
      </c>
      <c r="F111" s="14">
        <v>5</v>
      </c>
      <c r="G111" s="14">
        <v>4</v>
      </c>
      <c r="H111" s="14">
        <v>0</v>
      </c>
      <c r="I111" s="14">
        <v>0</v>
      </c>
      <c r="J111" s="14">
        <v>1</v>
      </c>
      <c r="K111" s="46">
        <f>SUM(C111:J111)</f>
        <v>28</v>
      </c>
    </row>
    <row r="112" spans="1:22" ht="33.75" x14ac:dyDescent="0.2">
      <c r="A112" s="8" t="s">
        <v>15</v>
      </c>
      <c r="B112" s="14">
        <f t="shared" ref="B112:I112" si="44">C111</f>
        <v>0</v>
      </c>
      <c r="C112" s="14">
        <f t="shared" si="44"/>
        <v>3</v>
      </c>
      <c r="D112" s="14">
        <f t="shared" si="44"/>
        <v>15</v>
      </c>
      <c r="E112" s="14">
        <f t="shared" si="44"/>
        <v>5</v>
      </c>
      <c r="F112" s="14">
        <f t="shared" si="44"/>
        <v>4</v>
      </c>
      <c r="G112" s="14">
        <f t="shared" si="44"/>
        <v>0</v>
      </c>
      <c r="H112" s="14">
        <f t="shared" si="44"/>
        <v>0</v>
      </c>
      <c r="I112" s="14">
        <f t="shared" si="44"/>
        <v>1</v>
      </c>
      <c r="J112" s="67"/>
      <c r="K112" s="46">
        <f>SUM(B112:I112)</f>
        <v>28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22.5" x14ac:dyDescent="0.2">
      <c r="A113" s="8" t="s">
        <v>16</v>
      </c>
      <c r="B113" s="14">
        <f t="shared" ref="B113:K113" si="45">SUM(B110-B111+B112)</f>
        <v>0</v>
      </c>
      <c r="C113" s="14">
        <f t="shared" si="45"/>
        <v>145</v>
      </c>
      <c r="D113" s="14">
        <f t="shared" si="45"/>
        <v>811</v>
      </c>
      <c r="E113" s="14">
        <f t="shared" si="45"/>
        <v>2336</v>
      </c>
      <c r="F113" s="14">
        <f t="shared" si="45"/>
        <v>345</v>
      </c>
      <c r="G113" s="14">
        <f t="shared" si="45"/>
        <v>27</v>
      </c>
      <c r="H113" s="14">
        <f t="shared" si="45"/>
        <v>0</v>
      </c>
      <c r="I113" s="14">
        <f t="shared" si="45"/>
        <v>1</v>
      </c>
      <c r="J113" s="14">
        <f t="shared" si="45"/>
        <v>1</v>
      </c>
      <c r="K113" s="46">
        <f t="shared" si="45"/>
        <v>3666</v>
      </c>
    </row>
    <row r="114" spans="1:22" ht="22.5" x14ac:dyDescent="0.2">
      <c r="A114" s="8" t="s">
        <v>91</v>
      </c>
      <c r="B114" s="14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46">
        <f>SUM(B114:J114)</f>
        <v>0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22.5" x14ac:dyDescent="0.2">
      <c r="A115" s="8" t="s">
        <v>87</v>
      </c>
      <c r="B115" s="14">
        <v>0</v>
      </c>
      <c r="C115" s="14">
        <f>222+0</f>
        <v>222</v>
      </c>
      <c r="D115" s="14">
        <f>761+5</f>
        <v>766</v>
      </c>
      <c r="E115" s="14">
        <f>844+39</f>
        <v>883</v>
      </c>
      <c r="F115" s="14">
        <f>131+5</f>
        <v>136</v>
      </c>
      <c r="G115" s="14">
        <f>10+0</f>
        <v>10</v>
      </c>
      <c r="H115" s="14">
        <f>1+0</f>
        <v>1</v>
      </c>
      <c r="I115" s="14">
        <f>0+0</f>
        <v>0</v>
      </c>
      <c r="J115" s="14">
        <f>0+0</f>
        <v>0</v>
      </c>
      <c r="K115" s="46">
        <f>SUM(B115:J115)</f>
        <v>2018</v>
      </c>
      <c r="M115" s="12" t="s">
        <v>93</v>
      </c>
      <c r="N115">
        <v>0</v>
      </c>
      <c r="O115">
        <v>2</v>
      </c>
      <c r="P115">
        <v>1</v>
      </c>
      <c r="Q115">
        <v>0</v>
      </c>
      <c r="R115">
        <v>1</v>
      </c>
      <c r="S115">
        <v>0</v>
      </c>
      <c r="T115">
        <v>1</v>
      </c>
      <c r="U115">
        <v>0</v>
      </c>
      <c r="V115">
        <f>SUM(N115:U115)</f>
        <v>5</v>
      </c>
    </row>
    <row r="116" spans="1:22" ht="22.5" x14ac:dyDescent="0.2">
      <c r="A116" s="8" t="s">
        <v>88</v>
      </c>
      <c r="B116" s="14">
        <v>0</v>
      </c>
      <c r="C116" s="14">
        <f>N117</f>
        <v>0</v>
      </c>
      <c r="D116" s="14">
        <f t="shared" ref="D116:J116" si="46">O117</f>
        <v>2</v>
      </c>
      <c r="E116" s="14">
        <f t="shared" si="46"/>
        <v>1</v>
      </c>
      <c r="F116" s="14">
        <f t="shared" si="46"/>
        <v>0</v>
      </c>
      <c r="G116" s="14">
        <f t="shared" si="46"/>
        <v>1</v>
      </c>
      <c r="H116" s="14">
        <f t="shared" si="46"/>
        <v>0</v>
      </c>
      <c r="I116" s="14">
        <f t="shared" si="46"/>
        <v>1</v>
      </c>
      <c r="J116" s="14">
        <f t="shared" si="46"/>
        <v>0</v>
      </c>
      <c r="K116" s="46">
        <f>SUM(B116:J116)</f>
        <v>5</v>
      </c>
      <c r="M116" s="12" t="s">
        <v>92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>
        <f>SUM(N116:U116)</f>
        <v>0</v>
      </c>
    </row>
    <row r="117" spans="1:22" x14ac:dyDescent="0.2">
      <c r="A117" s="8" t="s">
        <v>73</v>
      </c>
      <c r="B117" s="14">
        <v>0</v>
      </c>
      <c r="C117" s="14">
        <f t="shared" ref="C117:J117" si="47">C107</f>
        <v>0</v>
      </c>
      <c r="D117" s="14">
        <f t="shared" si="47"/>
        <v>0</v>
      </c>
      <c r="E117" s="14">
        <f t="shared" si="47"/>
        <v>0</v>
      </c>
      <c r="F117" s="14">
        <f t="shared" si="47"/>
        <v>0</v>
      </c>
      <c r="G117" s="14">
        <f t="shared" si="47"/>
        <v>0</v>
      </c>
      <c r="H117" s="14">
        <f t="shared" si="47"/>
        <v>0</v>
      </c>
      <c r="I117" s="14">
        <f t="shared" si="47"/>
        <v>0</v>
      </c>
      <c r="J117" s="14">
        <f t="shared" si="47"/>
        <v>0</v>
      </c>
      <c r="K117" s="46">
        <f>SUM(B117:J117)</f>
        <v>0</v>
      </c>
      <c r="N117">
        <f>N115+N116</f>
        <v>0</v>
      </c>
      <c r="O117">
        <f t="shared" ref="O117:U117" si="48">O115+O116</f>
        <v>2</v>
      </c>
      <c r="P117">
        <f t="shared" si="48"/>
        <v>1</v>
      </c>
      <c r="Q117">
        <f t="shared" si="48"/>
        <v>0</v>
      </c>
      <c r="R117">
        <f t="shared" si="48"/>
        <v>1</v>
      </c>
      <c r="S117">
        <f t="shared" si="48"/>
        <v>0</v>
      </c>
      <c r="T117">
        <f t="shared" si="48"/>
        <v>1</v>
      </c>
      <c r="U117">
        <f t="shared" si="48"/>
        <v>0</v>
      </c>
    </row>
    <row r="118" spans="1:22" x14ac:dyDescent="0.2">
      <c r="A118" s="8" t="s">
        <v>74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46">
        <f>SUM(B118:J118)</f>
        <v>0</v>
      </c>
    </row>
    <row r="119" spans="1:22" ht="22.5" x14ac:dyDescent="0.2">
      <c r="A119" s="8" t="s">
        <v>75</v>
      </c>
      <c r="B119" s="14">
        <f>SUM(B113-B114-B115-B116-B117-B118)</f>
        <v>0</v>
      </c>
      <c r="C119" s="14">
        <f t="shared" ref="C119:K119" si="49">SUM(C113-C114-C115-C116-C117-C118)</f>
        <v>-77</v>
      </c>
      <c r="D119" s="14">
        <f t="shared" si="49"/>
        <v>43</v>
      </c>
      <c r="E119" s="14">
        <f t="shared" si="49"/>
        <v>1452</v>
      </c>
      <c r="F119" s="14">
        <f t="shared" si="49"/>
        <v>209</v>
      </c>
      <c r="G119" s="14">
        <f t="shared" si="49"/>
        <v>16</v>
      </c>
      <c r="H119" s="14">
        <f t="shared" si="49"/>
        <v>-1</v>
      </c>
      <c r="I119" s="14">
        <f t="shared" si="49"/>
        <v>0</v>
      </c>
      <c r="J119" s="14">
        <f t="shared" si="49"/>
        <v>1</v>
      </c>
      <c r="K119" s="46">
        <f t="shared" si="49"/>
        <v>1643</v>
      </c>
    </row>
    <row r="120" spans="1:22" ht="33.75" x14ac:dyDescent="0.2">
      <c r="A120" s="8" t="s">
        <v>76</v>
      </c>
      <c r="B120" s="14">
        <f>SUM((B114*0.75)+(B115*0.75)+(B116*0.5)+(B117*0.5)+ (B118*1.5)+B119)</f>
        <v>0</v>
      </c>
      <c r="C120" s="70">
        <f t="shared" ref="C120:J120" si="50">SUM((C114*0.75)+(C115*0.75)+(C116*0.5)+(C117*0.5)+ (C118*1.5)+C119)</f>
        <v>89.5</v>
      </c>
      <c r="D120" s="70">
        <f t="shared" si="50"/>
        <v>618.5</v>
      </c>
      <c r="E120" s="70">
        <f t="shared" si="50"/>
        <v>2114.75</v>
      </c>
      <c r="F120" s="70">
        <f t="shared" si="50"/>
        <v>311</v>
      </c>
      <c r="G120" s="70">
        <f t="shared" si="50"/>
        <v>24</v>
      </c>
      <c r="H120" s="70">
        <f t="shared" si="50"/>
        <v>-0.25</v>
      </c>
      <c r="I120" s="70">
        <f t="shared" si="50"/>
        <v>0.5</v>
      </c>
      <c r="J120" s="70">
        <f t="shared" si="50"/>
        <v>1</v>
      </c>
      <c r="K120" s="54">
        <f>SUM(B120:J120)</f>
        <v>3159</v>
      </c>
    </row>
    <row r="121" spans="1:22" x14ac:dyDescent="0.2">
      <c r="A121" s="8" t="s">
        <v>77</v>
      </c>
      <c r="B121" s="71" t="s">
        <v>21</v>
      </c>
      <c r="C121" s="71" t="s">
        <v>22</v>
      </c>
      <c r="D121" s="71" t="s">
        <v>23</v>
      </c>
      <c r="E121" s="71" t="s">
        <v>24</v>
      </c>
      <c r="F121" s="71">
        <v>1</v>
      </c>
      <c r="G121" s="71" t="s">
        <v>25</v>
      </c>
      <c r="H121" s="71" t="s">
        <v>26</v>
      </c>
      <c r="I121" s="71" t="s">
        <v>27</v>
      </c>
      <c r="J121" s="71" t="s">
        <v>28</v>
      </c>
      <c r="K121" s="46"/>
    </row>
    <row r="122" spans="1:22" x14ac:dyDescent="0.2">
      <c r="A122" s="8"/>
      <c r="B122" s="71"/>
      <c r="C122" s="71"/>
      <c r="D122" s="71"/>
      <c r="E122" s="71"/>
      <c r="F122" s="71"/>
      <c r="G122" s="71"/>
      <c r="H122" s="71"/>
      <c r="I122" s="71"/>
      <c r="J122" s="71"/>
      <c r="K122" s="46"/>
    </row>
    <row r="123" spans="1:22" ht="15" x14ac:dyDescent="0.25">
      <c r="A123" s="8" t="s">
        <v>78</v>
      </c>
      <c r="B123" s="72">
        <f>ROUND(B120/9*5,2)</f>
        <v>0</v>
      </c>
      <c r="C123" s="72">
        <f>ROUND(C120/9*6,2)</f>
        <v>59.67</v>
      </c>
      <c r="D123" s="72">
        <f>ROUND(D120/9*7,2)</f>
        <v>481.06</v>
      </c>
      <c r="E123" s="72">
        <f>ROUND(E120/9*8,2)</f>
        <v>1879.78</v>
      </c>
      <c r="F123" s="72">
        <f>ROUND(F120*F121,2)</f>
        <v>311</v>
      </c>
      <c r="G123" s="72">
        <f>ROUND(G120/9*11,2)</f>
        <v>29.33</v>
      </c>
      <c r="H123" s="72">
        <f>ROUND(H120/9*13,2)</f>
        <v>-0.36</v>
      </c>
      <c r="I123" s="72">
        <f>ROUND(I120/9*15,2)</f>
        <v>0.83</v>
      </c>
      <c r="J123" s="72">
        <f>ROUND(J120/9*18,2)</f>
        <v>2</v>
      </c>
      <c r="K123" s="54">
        <f>SUM(B123:J123)</f>
        <v>2763.31</v>
      </c>
    </row>
    <row r="124" spans="1:22" ht="23.25" x14ac:dyDescent="0.25">
      <c r="A124" s="8" t="s">
        <v>89</v>
      </c>
      <c r="B124" s="73"/>
      <c r="C124" s="74"/>
      <c r="D124" s="70"/>
      <c r="E124" s="70"/>
      <c r="F124" s="70"/>
      <c r="G124" s="70"/>
      <c r="H124" s="70"/>
      <c r="I124" s="70"/>
      <c r="J124" s="70"/>
      <c r="K124" s="46">
        <v>0</v>
      </c>
    </row>
    <row r="125" spans="1:22" ht="23.25" x14ac:dyDescent="0.25">
      <c r="A125" s="8" t="s">
        <v>79</v>
      </c>
      <c r="B125" s="73"/>
      <c r="C125" s="74"/>
      <c r="D125" s="70"/>
      <c r="E125" s="70"/>
      <c r="F125" s="70"/>
      <c r="G125" s="70"/>
      <c r="H125" s="70"/>
      <c r="I125" s="70"/>
      <c r="J125" s="70"/>
      <c r="K125" s="54">
        <f>SUM(K123+K124)</f>
        <v>2763.31</v>
      </c>
    </row>
    <row r="126" spans="1:22" ht="16.5" thickBot="1" x14ac:dyDescent="0.3">
      <c r="A126" s="34" t="s">
        <v>90</v>
      </c>
      <c r="B126" s="75"/>
      <c r="C126" s="76"/>
      <c r="D126" s="76"/>
      <c r="E126" s="76"/>
      <c r="F126" s="76"/>
      <c r="G126" s="76"/>
      <c r="H126" s="76"/>
      <c r="I126" s="76"/>
      <c r="J126" s="76"/>
      <c r="K126" s="59">
        <f>K125/100*97.5</f>
        <v>2694.2272499999999</v>
      </c>
    </row>
    <row r="127" spans="1:22" ht="15.75" x14ac:dyDescent="0.25">
      <c r="A127" s="1" t="s">
        <v>80</v>
      </c>
      <c r="D127" s="2" t="s">
        <v>32</v>
      </c>
      <c r="K127" s="62"/>
    </row>
    <row r="128" spans="1:22" ht="16.5" thickBot="1" x14ac:dyDescent="0.3">
      <c r="C128" s="1" t="s">
        <v>82</v>
      </c>
      <c r="K128" s="62"/>
    </row>
    <row r="129" spans="1:12" x14ac:dyDescent="0.2">
      <c r="A129" s="4" t="s">
        <v>0</v>
      </c>
      <c r="B129" s="5" t="s">
        <v>1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3" t="s">
        <v>10</v>
      </c>
    </row>
    <row r="130" spans="1:12" x14ac:dyDescent="0.2">
      <c r="A130" s="8" t="s">
        <v>34</v>
      </c>
      <c r="B130" s="9"/>
      <c r="C130" s="10">
        <f t="shared" ref="C130:J130" si="51">C4-C30-C55-C80-C105</f>
        <v>1805</v>
      </c>
      <c r="D130" s="10">
        <f t="shared" si="51"/>
        <v>7143</v>
      </c>
      <c r="E130" s="10">
        <f t="shared" si="51"/>
        <v>13873</v>
      </c>
      <c r="F130" s="10">
        <f t="shared" si="51"/>
        <v>13234</v>
      </c>
      <c r="G130" s="10">
        <f t="shared" si="51"/>
        <v>6413</v>
      </c>
      <c r="H130" s="10">
        <f t="shared" si="51"/>
        <v>2620</v>
      </c>
      <c r="I130" s="10">
        <f t="shared" si="51"/>
        <v>3116</v>
      </c>
      <c r="J130" s="10">
        <f t="shared" si="51"/>
        <v>573</v>
      </c>
      <c r="K130" s="46">
        <f>SUM(B130:J130)</f>
        <v>48777</v>
      </c>
    </row>
    <row r="131" spans="1:12" x14ac:dyDescent="0.2">
      <c r="A131" s="8" t="s">
        <v>72</v>
      </c>
      <c r="B131" s="9"/>
      <c r="C131" s="77">
        <f>C5-C31-C56-C81-C106</f>
        <v>0</v>
      </c>
      <c r="D131" s="77">
        <f t="shared" ref="D131:J131" si="52">D5-D31-D56-D81-D106</f>
        <v>7</v>
      </c>
      <c r="E131" s="77">
        <f t="shared" si="52"/>
        <v>22</v>
      </c>
      <c r="F131" s="77">
        <f t="shared" si="52"/>
        <v>22</v>
      </c>
      <c r="G131" s="77">
        <f t="shared" si="52"/>
        <v>10</v>
      </c>
      <c r="H131" s="77">
        <f t="shared" si="52"/>
        <v>4</v>
      </c>
      <c r="I131" s="77">
        <f t="shared" si="52"/>
        <v>4</v>
      </c>
      <c r="J131" s="77">
        <f t="shared" si="52"/>
        <v>1</v>
      </c>
      <c r="K131" s="48">
        <f>SUM(C131:J131)</f>
        <v>70</v>
      </c>
    </row>
    <row r="132" spans="1:12" x14ac:dyDescent="0.2">
      <c r="A132" s="8" t="s">
        <v>83</v>
      </c>
      <c r="B132" s="9"/>
      <c r="C132" s="77">
        <f>C6-C32-C57-C82-C107</f>
        <v>28</v>
      </c>
      <c r="D132" s="77">
        <f t="shared" ref="D132:J132" si="53">D6-D32-D57-D82-D107</f>
        <v>107</v>
      </c>
      <c r="E132" s="77">
        <f t="shared" si="53"/>
        <v>221</v>
      </c>
      <c r="F132" s="77">
        <f t="shared" si="53"/>
        <v>185</v>
      </c>
      <c r="G132" s="77">
        <f t="shared" si="53"/>
        <v>80</v>
      </c>
      <c r="H132" s="77">
        <f t="shared" si="53"/>
        <v>33</v>
      </c>
      <c r="I132" s="77">
        <f t="shared" si="53"/>
        <v>38</v>
      </c>
      <c r="J132" s="77">
        <f t="shared" si="53"/>
        <v>7</v>
      </c>
      <c r="K132" s="50">
        <f>SUM(B132:J132)</f>
        <v>699</v>
      </c>
    </row>
    <row r="133" spans="1:12" x14ac:dyDescent="0.2">
      <c r="A133" s="8" t="s">
        <v>84</v>
      </c>
      <c r="B133" s="9"/>
      <c r="C133" s="77">
        <f t="shared" ref="C133:J134" si="54">C7-C33-C58-C83-C108</f>
        <v>458</v>
      </c>
      <c r="D133" s="77">
        <f t="shared" si="54"/>
        <v>723</v>
      </c>
      <c r="E133" s="77">
        <f t="shared" si="54"/>
        <v>1117</v>
      </c>
      <c r="F133" s="77">
        <f t="shared" si="54"/>
        <v>1762</v>
      </c>
      <c r="G133" s="77">
        <f t="shared" si="54"/>
        <v>1029</v>
      </c>
      <c r="H133" s="77">
        <f t="shared" si="54"/>
        <v>237</v>
      </c>
      <c r="I133" s="77">
        <f t="shared" si="54"/>
        <v>235</v>
      </c>
      <c r="J133" s="77">
        <f t="shared" si="54"/>
        <v>206</v>
      </c>
      <c r="K133" s="46">
        <f>SUM(C133:J133)</f>
        <v>5767</v>
      </c>
    </row>
    <row r="134" spans="1:12" x14ac:dyDescent="0.2">
      <c r="A134" s="8" t="s">
        <v>13</v>
      </c>
      <c r="B134" s="9"/>
      <c r="C134" s="77">
        <f t="shared" si="54"/>
        <v>318</v>
      </c>
      <c r="D134" s="77">
        <f t="shared" si="54"/>
        <v>1680</v>
      </c>
      <c r="E134" s="77">
        <f t="shared" si="54"/>
        <v>2044</v>
      </c>
      <c r="F134" s="77">
        <f t="shared" si="54"/>
        <v>775</v>
      </c>
      <c r="G134" s="77">
        <f t="shared" si="54"/>
        <v>224</v>
      </c>
      <c r="H134" s="77">
        <f t="shared" si="54"/>
        <v>24</v>
      </c>
      <c r="I134" s="77">
        <f t="shared" si="54"/>
        <v>15</v>
      </c>
      <c r="J134" s="77">
        <f t="shared" si="54"/>
        <v>0</v>
      </c>
      <c r="K134" s="46">
        <f>SUM(C134:J134)</f>
        <v>5080</v>
      </c>
      <c r="L134" s="12"/>
    </row>
    <row r="135" spans="1:12" ht="22.5" x14ac:dyDescent="0.2">
      <c r="A135" s="8" t="s">
        <v>85</v>
      </c>
      <c r="B135" s="9"/>
      <c r="C135" s="14">
        <f>C130+C131+C132-C133-C134</f>
        <v>1057</v>
      </c>
      <c r="D135" s="14">
        <f t="shared" ref="D135:J135" si="55">D130+D131+D132-D133-D134</f>
        <v>4854</v>
      </c>
      <c r="E135" s="14">
        <f t="shared" si="55"/>
        <v>10955</v>
      </c>
      <c r="F135" s="14">
        <f t="shared" si="55"/>
        <v>10904</v>
      </c>
      <c r="G135" s="14">
        <f t="shared" si="55"/>
        <v>5250</v>
      </c>
      <c r="H135" s="14">
        <f t="shared" si="55"/>
        <v>2396</v>
      </c>
      <c r="I135" s="14">
        <f t="shared" si="55"/>
        <v>2908</v>
      </c>
      <c r="J135" s="14">
        <f t="shared" si="55"/>
        <v>375</v>
      </c>
      <c r="K135" s="46">
        <f>K130+K131+K132-K133-K134</f>
        <v>38699</v>
      </c>
    </row>
    <row r="136" spans="1:12" ht="22.5" x14ac:dyDescent="0.2">
      <c r="A136" s="8" t="s">
        <v>86</v>
      </c>
      <c r="B136" s="9"/>
      <c r="C136" s="14">
        <f t="shared" ref="C136:J136" si="56">C10-C36-C61-C86-C111</f>
        <v>0</v>
      </c>
      <c r="D136" s="14">
        <f t="shared" si="56"/>
        <v>17</v>
      </c>
      <c r="E136" s="14">
        <f t="shared" si="56"/>
        <v>47</v>
      </c>
      <c r="F136" s="14">
        <f t="shared" si="56"/>
        <v>51</v>
      </c>
      <c r="G136" s="14">
        <f t="shared" si="56"/>
        <v>25</v>
      </c>
      <c r="H136" s="14">
        <f t="shared" si="56"/>
        <v>12</v>
      </c>
      <c r="I136" s="14">
        <f t="shared" si="56"/>
        <v>14</v>
      </c>
      <c r="J136" s="14">
        <f t="shared" si="56"/>
        <v>6</v>
      </c>
      <c r="K136" s="50">
        <f>SUM(C136:J136)</f>
        <v>172</v>
      </c>
    </row>
    <row r="137" spans="1:12" ht="33.75" x14ac:dyDescent="0.2">
      <c r="A137" s="8" t="s">
        <v>15</v>
      </c>
      <c r="B137" s="16">
        <f t="shared" ref="B137:I137" si="57">C136</f>
        <v>0</v>
      </c>
      <c r="C137" s="16">
        <f t="shared" si="57"/>
        <v>17</v>
      </c>
      <c r="D137" s="16">
        <f t="shared" si="57"/>
        <v>47</v>
      </c>
      <c r="E137" s="16">
        <f t="shared" si="57"/>
        <v>51</v>
      </c>
      <c r="F137" s="16">
        <f t="shared" si="57"/>
        <v>25</v>
      </c>
      <c r="G137" s="16">
        <f t="shared" si="57"/>
        <v>12</v>
      </c>
      <c r="H137" s="16">
        <f t="shared" si="57"/>
        <v>14</v>
      </c>
      <c r="I137" s="16">
        <f t="shared" si="57"/>
        <v>6</v>
      </c>
      <c r="J137" s="9"/>
      <c r="K137" s="50">
        <f>SUM(B137:I137)</f>
        <v>172</v>
      </c>
    </row>
    <row r="138" spans="1:12" ht="22.5" x14ac:dyDescent="0.2">
      <c r="A138" s="8" t="s">
        <v>16</v>
      </c>
      <c r="B138" s="18">
        <f t="shared" ref="B138:K138" si="58">SUM(B135-B136+B137)</f>
        <v>0</v>
      </c>
      <c r="C138" s="18">
        <f t="shared" si="58"/>
        <v>1074</v>
      </c>
      <c r="D138" s="18">
        <f t="shared" si="58"/>
        <v>4884</v>
      </c>
      <c r="E138" s="18">
        <f t="shared" si="58"/>
        <v>10959</v>
      </c>
      <c r="F138" s="18">
        <f t="shared" si="58"/>
        <v>10878</v>
      </c>
      <c r="G138" s="18">
        <f t="shared" si="58"/>
        <v>5237</v>
      </c>
      <c r="H138" s="18">
        <f t="shared" si="58"/>
        <v>2398</v>
      </c>
      <c r="I138" s="18">
        <f t="shared" si="58"/>
        <v>2900</v>
      </c>
      <c r="J138" s="18">
        <f t="shared" si="58"/>
        <v>369</v>
      </c>
      <c r="K138" s="52">
        <f t="shared" si="58"/>
        <v>38699</v>
      </c>
    </row>
    <row r="139" spans="1:12" ht="22.5" x14ac:dyDescent="0.2">
      <c r="A139" s="8" t="s">
        <v>91</v>
      </c>
      <c r="B139" s="14">
        <f>B13-B39-B64-B89-B114</f>
        <v>0</v>
      </c>
      <c r="C139" s="14">
        <f t="shared" ref="C139:J139" si="59">C13-C39-C64-C89-C114</f>
        <v>0</v>
      </c>
      <c r="D139" s="14">
        <f t="shared" si="59"/>
        <v>3</v>
      </c>
      <c r="E139" s="14">
        <f t="shared" si="59"/>
        <v>13</v>
      </c>
      <c r="F139" s="14">
        <f t="shared" si="59"/>
        <v>25</v>
      </c>
      <c r="G139" s="14">
        <f t="shared" si="59"/>
        <v>13</v>
      </c>
      <c r="H139" s="14">
        <f t="shared" si="59"/>
        <v>7</v>
      </c>
      <c r="I139" s="14">
        <f t="shared" si="59"/>
        <v>14</v>
      </c>
      <c r="J139" s="14">
        <f t="shared" si="59"/>
        <v>2</v>
      </c>
      <c r="K139" s="52">
        <f>SUM(B139:J139)</f>
        <v>77</v>
      </c>
    </row>
    <row r="140" spans="1:12" ht="22.5" x14ac:dyDescent="0.2">
      <c r="A140" s="8" t="s">
        <v>87</v>
      </c>
      <c r="B140" s="14">
        <f t="shared" ref="B140:J141" si="60">B14-B40-B65-B90-B115</f>
        <v>0</v>
      </c>
      <c r="C140" s="14">
        <f t="shared" si="60"/>
        <v>878</v>
      </c>
      <c r="D140" s="14">
        <f t="shared" si="60"/>
        <v>3473</v>
      </c>
      <c r="E140" s="14">
        <f t="shared" si="60"/>
        <v>4326</v>
      </c>
      <c r="F140" s="14">
        <f t="shared" si="60"/>
        <v>3528</v>
      </c>
      <c r="G140" s="14">
        <f t="shared" si="60"/>
        <v>1517</v>
      </c>
      <c r="H140" s="14">
        <f t="shared" si="60"/>
        <v>554</v>
      </c>
      <c r="I140" s="14">
        <f t="shared" si="60"/>
        <v>476</v>
      </c>
      <c r="J140" s="14">
        <f t="shared" si="60"/>
        <v>27</v>
      </c>
      <c r="K140" s="52">
        <f>SUM(B140:J140)</f>
        <v>14779</v>
      </c>
    </row>
    <row r="141" spans="1:12" ht="22.5" x14ac:dyDescent="0.2">
      <c r="A141" s="8" t="s">
        <v>88</v>
      </c>
      <c r="B141" s="14">
        <f t="shared" si="60"/>
        <v>0</v>
      </c>
      <c r="C141" s="14">
        <f t="shared" si="60"/>
        <v>2</v>
      </c>
      <c r="D141" s="14">
        <f t="shared" si="60"/>
        <v>9</v>
      </c>
      <c r="E141" s="14">
        <f t="shared" si="60"/>
        <v>21</v>
      </c>
      <c r="F141" s="14">
        <f t="shared" si="60"/>
        <v>30</v>
      </c>
      <c r="G141" s="14">
        <f t="shared" si="60"/>
        <v>16</v>
      </c>
      <c r="H141" s="14">
        <f t="shared" si="60"/>
        <v>14</v>
      </c>
      <c r="I141" s="14">
        <f t="shared" si="60"/>
        <v>28</v>
      </c>
      <c r="J141" s="14">
        <f t="shared" si="60"/>
        <v>16</v>
      </c>
      <c r="K141" s="53">
        <f>SUM(B141:J141)</f>
        <v>136</v>
      </c>
    </row>
    <row r="142" spans="1:12" x14ac:dyDescent="0.2">
      <c r="A142" s="8" t="s">
        <v>73</v>
      </c>
      <c r="B142" s="21">
        <v>0</v>
      </c>
      <c r="C142" s="21">
        <f t="shared" ref="C142:J142" si="61">C132</f>
        <v>28</v>
      </c>
      <c r="D142" s="21">
        <f t="shared" si="61"/>
        <v>107</v>
      </c>
      <c r="E142" s="21">
        <f t="shared" si="61"/>
        <v>221</v>
      </c>
      <c r="F142" s="21">
        <f t="shared" si="61"/>
        <v>185</v>
      </c>
      <c r="G142" s="21">
        <f t="shared" si="61"/>
        <v>80</v>
      </c>
      <c r="H142" s="21">
        <f t="shared" si="61"/>
        <v>33</v>
      </c>
      <c r="I142" s="21">
        <f t="shared" si="61"/>
        <v>38</v>
      </c>
      <c r="J142" s="21">
        <f t="shared" si="61"/>
        <v>7</v>
      </c>
      <c r="K142" s="53">
        <f>SUM(B142:J142)</f>
        <v>699</v>
      </c>
    </row>
    <row r="143" spans="1:12" x14ac:dyDescent="0.2">
      <c r="A143" s="8" t="s">
        <v>74</v>
      </c>
      <c r="B143" s="14">
        <f t="shared" ref="B143:J143" si="62">B17-B43-B68-B93-B118</f>
        <v>0</v>
      </c>
      <c r="C143" s="14">
        <f t="shared" si="62"/>
        <v>3</v>
      </c>
      <c r="D143" s="14">
        <f t="shared" si="62"/>
        <v>9</v>
      </c>
      <c r="E143" s="14">
        <f t="shared" si="62"/>
        <v>13</v>
      </c>
      <c r="F143" s="14">
        <f t="shared" si="62"/>
        <v>17</v>
      </c>
      <c r="G143" s="14">
        <f t="shared" si="62"/>
        <v>10</v>
      </c>
      <c r="H143" s="14">
        <f t="shared" si="62"/>
        <v>2</v>
      </c>
      <c r="I143" s="14">
        <f t="shared" si="62"/>
        <v>5</v>
      </c>
      <c r="J143" s="14">
        <f t="shared" si="62"/>
        <v>1</v>
      </c>
      <c r="K143" s="52">
        <f>SUM(B143:J143)</f>
        <v>60</v>
      </c>
    </row>
    <row r="144" spans="1:12" ht="22.5" x14ac:dyDescent="0.2">
      <c r="A144" s="8" t="s">
        <v>75</v>
      </c>
      <c r="B144" s="14">
        <f>SUM(B138-B139-B140-B141-B142-B143)</f>
        <v>0</v>
      </c>
      <c r="C144" s="14">
        <f t="shared" ref="C144:K144" si="63">SUM(C138-C139-C140-C141-C142-C143)</f>
        <v>163</v>
      </c>
      <c r="D144" s="14">
        <f t="shared" si="63"/>
        <v>1283</v>
      </c>
      <c r="E144" s="14">
        <f t="shared" si="63"/>
        <v>6365</v>
      </c>
      <c r="F144" s="14">
        <f t="shared" si="63"/>
        <v>7093</v>
      </c>
      <c r="G144" s="14">
        <f t="shared" si="63"/>
        <v>3601</v>
      </c>
      <c r="H144" s="14">
        <f t="shared" si="63"/>
        <v>1788</v>
      </c>
      <c r="I144" s="14">
        <f t="shared" si="63"/>
        <v>2339</v>
      </c>
      <c r="J144" s="14">
        <f t="shared" si="63"/>
        <v>316</v>
      </c>
      <c r="K144" s="52">
        <f t="shared" si="63"/>
        <v>22948</v>
      </c>
    </row>
    <row r="145" spans="1:11" ht="33.75" x14ac:dyDescent="0.2">
      <c r="A145" s="8" t="s">
        <v>76</v>
      </c>
      <c r="B145" s="24">
        <f>SUM((B139*0.75)+(B140*0.75)+(B141*0.5)+(B142*0.5)+ (B143*1.5)+B144)</f>
        <v>0</v>
      </c>
      <c r="C145" s="24">
        <f t="shared" ref="C145:J145" si="64">SUM((C139*0.75)+(C140*0.75)+(C141*0.5)+(C142*0.5)+ (C143*1.5)+C144)</f>
        <v>841</v>
      </c>
      <c r="D145" s="24">
        <f t="shared" si="64"/>
        <v>3961.5</v>
      </c>
      <c r="E145" s="24">
        <f t="shared" si="64"/>
        <v>9759.75</v>
      </c>
      <c r="F145" s="24">
        <f t="shared" si="64"/>
        <v>9890.75</v>
      </c>
      <c r="G145" s="24">
        <f t="shared" si="64"/>
        <v>4811.5</v>
      </c>
      <c r="H145" s="24">
        <f t="shared" si="64"/>
        <v>2235.25</v>
      </c>
      <c r="I145" s="24">
        <f t="shared" si="64"/>
        <v>2747</v>
      </c>
      <c r="J145" s="24">
        <f t="shared" si="64"/>
        <v>350.75</v>
      </c>
      <c r="K145" s="54">
        <f>SUM(B145:J145)</f>
        <v>34597.5</v>
      </c>
    </row>
    <row r="146" spans="1:11" x14ac:dyDescent="0.2">
      <c r="A146" s="8" t="s">
        <v>77</v>
      </c>
      <c r="B146" s="26" t="s">
        <v>21</v>
      </c>
      <c r="C146" s="26" t="s">
        <v>22</v>
      </c>
      <c r="D146" s="27" t="s">
        <v>23</v>
      </c>
      <c r="E146" s="27" t="s">
        <v>24</v>
      </c>
      <c r="F146" s="27">
        <v>1</v>
      </c>
      <c r="G146" s="27" t="s">
        <v>25</v>
      </c>
      <c r="H146" s="27" t="s">
        <v>26</v>
      </c>
      <c r="I146" s="27" t="s">
        <v>27</v>
      </c>
      <c r="J146" s="27" t="s">
        <v>28</v>
      </c>
      <c r="K146" s="50"/>
    </row>
    <row r="147" spans="1:11" x14ac:dyDescent="0.2">
      <c r="A147" s="8"/>
      <c r="B147" s="26"/>
      <c r="C147" s="26"/>
      <c r="D147" s="27"/>
      <c r="E147" s="27"/>
      <c r="F147" s="27"/>
      <c r="G147" s="27"/>
      <c r="H147" s="27"/>
      <c r="I147" s="27"/>
      <c r="J147" s="27"/>
      <c r="K147" s="50"/>
    </row>
    <row r="148" spans="1:11" ht="15" x14ac:dyDescent="0.25">
      <c r="A148" s="8" t="s">
        <v>78</v>
      </c>
      <c r="B148" s="28">
        <f>ROUND(B145/9*5,2)</f>
        <v>0</v>
      </c>
      <c r="C148" s="28">
        <f>ROUND(C145/9*6,2)</f>
        <v>560.66999999999996</v>
      </c>
      <c r="D148" s="28">
        <f>ROUND(D145/9*7,2)</f>
        <v>3081.17</v>
      </c>
      <c r="E148" s="28">
        <f>ROUND(E145/9*8,2)</f>
        <v>8675.33</v>
      </c>
      <c r="F148" s="28">
        <f>ROUND(F145*F146,2)</f>
        <v>9890.75</v>
      </c>
      <c r="G148" s="28">
        <f>ROUND(G145/9*11,2)</f>
        <v>5880.72</v>
      </c>
      <c r="H148" s="28">
        <f>ROUND(H145/9*13,2)</f>
        <v>3228.69</v>
      </c>
      <c r="I148" s="28">
        <f>ROUND(I145/9*15,2)</f>
        <v>4578.33</v>
      </c>
      <c r="J148" s="28">
        <f>ROUND(J145/9*18,2)</f>
        <v>701.5</v>
      </c>
      <c r="K148" s="54">
        <f>SUM(B148:J148)</f>
        <v>36597.159999999996</v>
      </c>
    </row>
    <row r="149" spans="1:11" ht="23.25" x14ac:dyDescent="0.25">
      <c r="A149" s="8" t="s">
        <v>89</v>
      </c>
      <c r="B149" s="55"/>
      <c r="C149" s="51"/>
      <c r="D149" s="51"/>
      <c r="E149" s="51"/>
      <c r="F149" s="51"/>
      <c r="G149" s="51"/>
      <c r="H149" s="51"/>
      <c r="I149" s="51"/>
      <c r="J149" s="51"/>
      <c r="K149" s="56">
        <v>0</v>
      </c>
    </row>
    <row r="150" spans="1:11" ht="23.25" x14ac:dyDescent="0.25">
      <c r="A150" s="8" t="s">
        <v>79</v>
      </c>
      <c r="B150" s="55"/>
      <c r="C150" s="51"/>
      <c r="D150" s="51"/>
      <c r="E150" s="51"/>
      <c r="F150" s="51"/>
      <c r="G150" s="51"/>
      <c r="H150" s="51"/>
      <c r="I150" s="51"/>
      <c r="J150" s="51"/>
      <c r="K150" s="54">
        <f>SUM(K148+K149)</f>
        <v>36597.159999999996</v>
      </c>
    </row>
    <row r="151" spans="1:11" ht="16.5" thickBot="1" x14ac:dyDescent="0.3">
      <c r="A151" s="34" t="s">
        <v>90</v>
      </c>
      <c r="B151" s="57"/>
      <c r="C151" s="58"/>
      <c r="D151" s="58"/>
      <c r="E151" s="58"/>
      <c r="F151" s="58"/>
      <c r="G151" s="58"/>
      <c r="H151" s="58"/>
      <c r="I151" s="58"/>
      <c r="J151" s="58"/>
      <c r="K151" s="59">
        <f>K150/100*97.5</f>
        <v>35682.231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topLeftCell="A124" zoomScaleNormal="100" workbookViewId="0">
      <selection activeCell="N137" sqref="N137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7.85546875" customWidth="1"/>
    <col min="11" max="11" width="9.85546875" customWidth="1"/>
    <col min="12" max="12" width="9.28515625" bestFit="1" customWidth="1"/>
    <col min="13" max="13" width="10.28515625" bestFit="1" customWidth="1"/>
  </cols>
  <sheetData>
    <row r="1" spans="1:22" ht="14.45" customHeight="1" x14ac:dyDescent="0.25">
      <c r="A1" s="1" t="s">
        <v>70</v>
      </c>
      <c r="D1" s="2" t="s">
        <v>32</v>
      </c>
    </row>
    <row r="2" spans="1:22" ht="16.149999999999999" customHeight="1" thickBot="1" x14ac:dyDescent="0.3">
      <c r="C2" s="1" t="s">
        <v>71</v>
      </c>
    </row>
    <row r="3" spans="1:22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2" ht="13.15" customHeight="1" x14ac:dyDescent="0.2">
      <c r="A4" s="8" t="s">
        <v>34</v>
      </c>
      <c r="B4" s="45"/>
      <c r="C4" s="10">
        <v>2441</v>
      </c>
      <c r="D4" s="10">
        <v>9169</v>
      </c>
      <c r="E4" s="10">
        <v>18800</v>
      </c>
      <c r="F4" s="10">
        <v>15715</v>
      </c>
      <c r="G4" s="10">
        <v>6849</v>
      </c>
      <c r="H4" s="10">
        <v>2792</v>
      </c>
      <c r="I4" s="10">
        <v>3216</v>
      </c>
      <c r="J4" s="10">
        <v>579</v>
      </c>
      <c r="K4" s="46">
        <f>SUM(B4:J4)</f>
        <v>59561</v>
      </c>
      <c r="M4" s="2" t="s">
        <v>111</v>
      </c>
    </row>
    <row r="5" spans="1:22" ht="11.45" customHeight="1" x14ac:dyDescent="0.2">
      <c r="A5" s="8" t="s">
        <v>72</v>
      </c>
      <c r="B5" s="45"/>
      <c r="C5" s="77">
        <v>3</v>
      </c>
      <c r="D5" s="77">
        <v>13</v>
      </c>
      <c r="E5" s="77">
        <v>26</v>
      </c>
      <c r="F5" s="77">
        <v>22</v>
      </c>
      <c r="G5" s="77">
        <v>10</v>
      </c>
      <c r="H5" s="77">
        <v>4</v>
      </c>
      <c r="I5" s="77">
        <v>4</v>
      </c>
      <c r="J5" s="77">
        <v>1</v>
      </c>
      <c r="K5" s="48">
        <f>SUM(C5:J5)</f>
        <v>83</v>
      </c>
    </row>
    <row r="6" spans="1:22" ht="11.45" customHeight="1" x14ac:dyDescent="0.2">
      <c r="A6" s="8" t="s">
        <v>83</v>
      </c>
      <c r="B6" s="45"/>
      <c r="C6" s="78">
        <v>28</v>
      </c>
      <c r="D6" s="78">
        <v>107</v>
      </c>
      <c r="E6" s="78">
        <v>221</v>
      </c>
      <c r="F6" s="78">
        <v>185</v>
      </c>
      <c r="G6" s="78">
        <v>80</v>
      </c>
      <c r="H6" s="78">
        <v>33</v>
      </c>
      <c r="I6" s="78">
        <v>38</v>
      </c>
      <c r="J6" s="78">
        <v>7</v>
      </c>
      <c r="K6" s="50">
        <f>SUM(B6:J6)</f>
        <v>699</v>
      </c>
    </row>
    <row r="7" spans="1:22" ht="12" customHeight="1" x14ac:dyDescent="0.2">
      <c r="A7" s="8" t="s">
        <v>84</v>
      </c>
      <c r="B7" s="45"/>
      <c r="C7" s="10">
        <f>N12</f>
        <v>468</v>
      </c>
      <c r="D7" s="10">
        <f t="shared" ref="D7:J7" si="0">O12</f>
        <v>765</v>
      </c>
      <c r="E7" s="10">
        <f t="shared" si="0"/>
        <v>1166</v>
      </c>
      <c r="F7" s="10">
        <f t="shared" si="0"/>
        <v>1801</v>
      </c>
      <c r="G7" s="10">
        <f t="shared" si="0"/>
        <v>1033</v>
      </c>
      <c r="H7" s="10">
        <f t="shared" si="0"/>
        <v>240</v>
      </c>
      <c r="I7" s="10">
        <f t="shared" si="0"/>
        <v>235</v>
      </c>
      <c r="J7" s="10">
        <f t="shared" si="0"/>
        <v>206</v>
      </c>
      <c r="K7" s="46">
        <f>SUM(C7:J7)</f>
        <v>5914</v>
      </c>
      <c r="L7" s="12"/>
      <c r="M7" s="12" t="s">
        <v>44</v>
      </c>
      <c r="N7" s="12" t="s">
        <v>43</v>
      </c>
      <c r="O7" s="43">
        <v>41729</v>
      </c>
      <c r="P7" s="12" t="s">
        <v>12</v>
      </c>
      <c r="Q7" s="15" t="s">
        <v>45</v>
      </c>
      <c r="R7" s="15" t="s">
        <v>43</v>
      </c>
      <c r="S7" s="43">
        <v>41965</v>
      </c>
      <c r="T7">
        <v>5777</v>
      </c>
      <c r="U7">
        <v>50</v>
      </c>
    </row>
    <row r="8" spans="1:22" ht="12" customHeight="1" x14ac:dyDescent="0.2">
      <c r="A8" s="8" t="s">
        <v>13</v>
      </c>
      <c r="B8" s="45"/>
      <c r="C8" s="80">
        <v>557</v>
      </c>
      <c r="D8" s="80">
        <v>2346</v>
      </c>
      <c r="E8" s="80">
        <v>2877</v>
      </c>
      <c r="F8" s="80">
        <v>1000</v>
      </c>
      <c r="G8" s="80">
        <v>257</v>
      </c>
      <c r="H8" s="80">
        <v>27</v>
      </c>
      <c r="I8" s="80">
        <v>15</v>
      </c>
      <c r="J8" s="80">
        <v>0</v>
      </c>
      <c r="K8" s="46">
        <f>SUM(C8:J8)</f>
        <v>7079</v>
      </c>
      <c r="L8" s="12"/>
      <c r="N8">
        <v>424</v>
      </c>
      <c r="O8">
        <v>723</v>
      </c>
      <c r="P8">
        <v>1144</v>
      </c>
      <c r="Q8">
        <v>1781</v>
      </c>
      <c r="R8">
        <v>1026</v>
      </c>
      <c r="S8">
        <v>239</v>
      </c>
      <c r="T8">
        <v>234</v>
      </c>
      <c r="U8">
        <v>206</v>
      </c>
      <c r="V8">
        <f>SUM(N8:U8)</f>
        <v>5777</v>
      </c>
    </row>
    <row r="9" spans="1:22" ht="24.75" customHeight="1" x14ac:dyDescent="0.2">
      <c r="A9" s="8" t="s">
        <v>85</v>
      </c>
      <c r="B9" s="45"/>
      <c r="C9" s="14">
        <f>C4+C5+C6-C7-C8</f>
        <v>1447</v>
      </c>
      <c r="D9" s="14">
        <f t="shared" ref="D9:J9" si="1">D4+D5+D6-D7-D8</f>
        <v>6178</v>
      </c>
      <c r="E9" s="14">
        <f t="shared" si="1"/>
        <v>15004</v>
      </c>
      <c r="F9" s="14">
        <f t="shared" si="1"/>
        <v>13121</v>
      </c>
      <c r="G9" s="14">
        <f t="shared" si="1"/>
        <v>5649</v>
      </c>
      <c r="H9" s="14">
        <f t="shared" si="1"/>
        <v>2562</v>
      </c>
      <c r="I9" s="14">
        <f t="shared" si="1"/>
        <v>3008</v>
      </c>
      <c r="J9" s="14">
        <f t="shared" si="1"/>
        <v>381</v>
      </c>
      <c r="K9" s="46">
        <f>K4+K5+K6-K7-K8</f>
        <v>47350</v>
      </c>
      <c r="L9" s="12"/>
      <c r="N9" s="81">
        <v>0</v>
      </c>
      <c r="O9" s="81">
        <v>7</v>
      </c>
      <c r="P9" s="81">
        <v>14</v>
      </c>
      <c r="Q9" s="81">
        <v>20</v>
      </c>
      <c r="R9" s="81">
        <v>7</v>
      </c>
      <c r="S9" s="81">
        <v>1</v>
      </c>
      <c r="T9" s="81">
        <v>1</v>
      </c>
      <c r="U9" s="81">
        <v>0</v>
      </c>
      <c r="V9">
        <f>SUM(N9:U9)</f>
        <v>50</v>
      </c>
    </row>
    <row r="10" spans="1:22" ht="22.9" customHeight="1" x14ac:dyDescent="0.2">
      <c r="A10" s="8" t="s">
        <v>86</v>
      </c>
      <c r="B10" s="45"/>
      <c r="C10" s="14">
        <v>2</v>
      </c>
      <c r="D10" s="14">
        <v>20</v>
      </c>
      <c r="E10" s="14">
        <v>77</v>
      </c>
      <c r="F10" s="14">
        <v>67</v>
      </c>
      <c r="G10" s="14">
        <v>29</v>
      </c>
      <c r="H10" s="14">
        <v>13</v>
      </c>
      <c r="I10" s="14">
        <v>16</v>
      </c>
      <c r="J10" s="14">
        <v>8</v>
      </c>
      <c r="K10" s="50">
        <f>SUM(C10:J10)</f>
        <v>232</v>
      </c>
      <c r="N10">
        <f>N8+N9</f>
        <v>424</v>
      </c>
      <c r="O10">
        <f t="shared" ref="O10:U10" si="2">O8+O9</f>
        <v>730</v>
      </c>
      <c r="P10">
        <f t="shared" si="2"/>
        <v>1158</v>
      </c>
      <c r="Q10">
        <f t="shared" si="2"/>
        <v>1801</v>
      </c>
      <c r="R10">
        <f t="shared" si="2"/>
        <v>1033</v>
      </c>
      <c r="S10">
        <f t="shared" si="2"/>
        <v>240</v>
      </c>
      <c r="T10">
        <f t="shared" si="2"/>
        <v>235</v>
      </c>
      <c r="U10">
        <f t="shared" si="2"/>
        <v>206</v>
      </c>
    </row>
    <row r="11" spans="1:22" ht="23.45" customHeight="1" x14ac:dyDescent="0.2">
      <c r="A11" s="8" t="s">
        <v>15</v>
      </c>
      <c r="B11" s="16">
        <f t="shared" ref="B11:I11" si="3">C10</f>
        <v>2</v>
      </c>
      <c r="C11" s="16">
        <f t="shared" si="3"/>
        <v>20</v>
      </c>
      <c r="D11" s="16">
        <f t="shared" si="3"/>
        <v>77</v>
      </c>
      <c r="E11" s="16">
        <f t="shared" si="3"/>
        <v>67</v>
      </c>
      <c r="F11" s="16">
        <f t="shared" si="3"/>
        <v>29</v>
      </c>
      <c r="G11" s="16">
        <f t="shared" si="3"/>
        <v>13</v>
      </c>
      <c r="H11" s="16">
        <f t="shared" si="3"/>
        <v>16</v>
      </c>
      <c r="I11" s="16">
        <f t="shared" si="3"/>
        <v>8</v>
      </c>
      <c r="J11" s="45"/>
      <c r="K11" s="50">
        <f>SUM(B11:I11)</f>
        <v>232</v>
      </c>
      <c r="M11" s="12" t="s">
        <v>110</v>
      </c>
      <c r="N11" s="81">
        <f>28+16</f>
        <v>44</v>
      </c>
      <c r="O11" s="81">
        <f>27+8</f>
        <v>35</v>
      </c>
      <c r="P11" s="81">
        <f>7+1</f>
        <v>8</v>
      </c>
      <c r="Q11" s="81"/>
      <c r="R11" s="81"/>
      <c r="S11" s="81"/>
      <c r="T11" s="81"/>
      <c r="U11" s="81"/>
    </row>
    <row r="12" spans="1:22" ht="25.15" customHeight="1" x14ac:dyDescent="0.2">
      <c r="A12" s="8" t="s">
        <v>16</v>
      </c>
      <c r="B12" s="18">
        <f t="shared" ref="B12:K12" si="4">SUM(B9-B10+B11)</f>
        <v>2</v>
      </c>
      <c r="C12" s="18">
        <f t="shared" si="4"/>
        <v>1465</v>
      </c>
      <c r="D12" s="18">
        <f t="shared" si="4"/>
        <v>6235</v>
      </c>
      <c r="E12" s="18">
        <f t="shared" si="4"/>
        <v>14994</v>
      </c>
      <c r="F12" s="18">
        <f t="shared" si="4"/>
        <v>13083</v>
      </c>
      <c r="G12" s="18">
        <f t="shared" si="4"/>
        <v>5633</v>
      </c>
      <c r="H12" s="18">
        <f t="shared" si="4"/>
        <v>2565</v>
      </c>
      <c r="I12" s="18">
        <f t="shared" si="4"/>
        <v>3000</v>
      </c>
      <c r="J12" s="18">
        <f t="shared" si="4"/>
        <v>373</v>
      </c>
      <c r="K12" s="52">
        <f t="shared" si="4"/>
        <v>47350</v>
      </c>
      <c r="L12" s="12"/>
      <c r="N12">
        <f>N10+N11</f>
        <v>468</v>
      </c>
      <c r="O12">
        <f t="shared" ref="O12:U12" si="5">O10+O11</f>
        <v>765</v>
      </c>
      <c r="P12">
        <f t="shared" si="5"/>
        <v>1166</v>
      </c>
      <c r="Q12">
        <f t="shared" si="5"/>
        <v>1801</v>
      </c>
      <c r="R12">
        <f t="shared" si="5"/>
        <v>1033</v>
      </c>
      <c r="S12">
        <f t="shared" si="5"/>
        <v>240</v>
      </c>
      <c r="T12">
        <f t="shared" si="5"/>
        <v>235</v>
      </c>
      <c r="U12">
        <f t="shared" si="5"/>
        <v>206</v>
      </c>
      <c r="V12">
        <f>SUM(N12:U12)</f>
        <v>5914</v>
      </c>
    </row>
    <row r="13" spans="1:22" s="12" customFormat="1" ht="22.15" customHeight="1" x14ac:dyDescent="0.2">
      <c r="A13" s="8" t="s">
        <v>91</v>
      </c>
      <c r="B13" s="14">
        <v>0</v>
      </c>
      <c r="C13" s="20">
        <v>0</v>
      </c>
      <c r="D13" s="20">
        <v>4</v>
      </c>
      <c r="E13" s="20">
        <v>16</v>
      </c>
      <c r="F13" s="20">
        <v>27</v>
      </c>
      <c r="G13" s="20">
        <v>15</v>
      </c>
      <c r="H13" s="20">
        <v>7</v>
      </c>
      <c r="I13" s="20">
        <v>14</v>
      </c>
      <c r="J13" s="20">
        <v>2</v>
      </c>
      <c r="K13" s="52">
        <f>SUM(B13:J13)</f>
        <v>85</v>
      </c>
    </row>
    <row r="14" spans="1:22" ht="22.15" customHeight="1" x14ac:dyDescent="0.2">
      <c r="A14" s="8" t="s">
        <v>87</v>
      </c>
      <c r="B14" s="14">
        <v>0</v>
      </c>
      <c r="C14" s="14">
        <f>1267+18</f>
        <v>1285</v>
      </c>
      <c r="D14" s="14">
        <f>4514+146</f>
        <v>4660</v>
      </c>
      <c r="E14" s="14">
        <f>5401+412</f>
        <v>5813</v>
      </c>
      <c r="F14" s="14">
        <f>3715+450</f>
        <v>4165</v>
      </c>
      <c r="G14" s="14">
        <f>1410+209</f>
        <v>1619</v>
      </c>
      <c r="H14" s="14">
        <f>541+47</f>
        <v>588</v>
      </c>
      <c r="I14" s="14">
        <f>473+23</f>
        <v>496</v>
      </c>
      <c r="J14" s="14">
        <f>25+2</f>
        <v>27</v>
      </c>
      <c r="K14" s="52">
        <f>SUM(B14:J14)</f>
        <v>18653</v>
      </c>
      <c r="L14" s="12"/>
    </row>
    <row r="15" spans="1:22" s="12" customFormat="1" ht="22.9" customHeight="1" x14ac:dyDescent="0.2">
      <c r="A15" s="8" t="s">
        <v>88</v>
      </c>
      <c r="B15" s="21">
        <v>0</v>
      </c>
      <c r="C15" s="21">
        <f>N18</f>
        <v>2</v>
      </c>
      <c r="D15" s="21">
        <f t="shared" ref="D15:J15" si="6">O18</f>
        <v>14</v>
      </c>
      <c r="E15" s="21">
        <f t="shared" si="6"/>
        <v>38</v>
      </c>
      <c r="F15" s="21">
        <f t="shared" si="6"/>
        <v>30</v>
      </c>
      <c r="G15" s="21">
        <f t="shared" si="6"/>
        <v>18</v>
      </c>
      <c r="H15" s="21">
        <f t="shared" si="6"/>
        <v>15</v>
      </c>
      <c r="I15" s="21">
        <f t="shared" si="6"/>
        <v>30</v>
      </c>
      <c r="J15" s="21">
        <f t="shared" si="6"/>
        <v>16</v>
      </c>
      <c r="K15" s="53">
        <f>SUM(B15:J15)</f>
        <v>163</v>
      </c>
    </row>
    <row r="16" spans="1:22" ht="12.6" customHeight="1" x14ac:dyDescent="0.2">
      <c r="A16" s="8" t="s">
        <v>73</v>
      </c>
      <c r="B16" s="21">
        <v>0</v>
      </c>
      <c r="C16" s="21">
        <f t="shared" ref="C16:J16" si="7">C6</f>
        <v>28</v>
      </c>
      <c r="D16" s="21">
        <f t="shared" si="7"/>
        <v>107</v>
      </c>
      <c r="E16" s="21">
        <f t="shared" si="7"/>
        <v>221</v>
      </c>
      <c r="F16" s="21">
        <f t="shared" si="7"/>
        <v>185</v>
      </c>
      <c r="G16" s="21">
        <f t="shared" si="7"/>
        <v>80</v>
      </c>
      <c r="H16" s="21">
        <f t="shared" si="7"/>
        <v>33</v>
      </c>
      <c r="I16" s="21">
        <f t="shared" si="7"/>
        <v>38</v>
      </c>
      <c r="J16" s="21">
        <f t="shared" si="7"/>
        <v>7</v>
      </c>
      <c r="K16" s="53">
        <f>SUM(B16:J16)</f>
        <v>699</v>
      </c>
      <c r="M16" s="12" t="s">
        <v>93</v>
      </c>
      <c r="N16">
        <v>2</v>
      </c>
      <c r="O16">
        <v>8</v>
      </c>
      <c r="P16">
        <v>35</v>
      </c>
      <c r="Q16">
        <v>22</v>
      </c>
      <c r="R16">
        <v>15</v>
      </c>
      <c r="S16">
        <v>14</v>
      </c>
      <c r="T16">
        <v>27</v>
      </c>
      <c r="U16">
        <v>14</v>
      </c>
      <c r="V16">
        <f>SUM(N16:U16)</f>
        <v>137</v>
      </c>
    </row>
    <row r="17" spans="1:22" ht="12.6" customHeight="1" x14ac:dyDescent="0.2">
      <c r="A17" s="8" t="s">
        <v>74</v>
      </c>
      <c r="B17" s="14">
        <v>0</v>
      </c>
      <c r="C17" s="21">
        <v>5</v>
      </c>
      <c r="D17" s="21">
        <v>18</v>
      </c>
      <c r="E17" s="21">
        <v>18</v>
      </c>
      <c r="F17" s="21">
        <v>17</v>
      </c>
      <c r="G17" s="21">
        <v>10</v>
      </c>
      <c r="H17" s="21">
        <v>2</v>
      </c>
      <c r="I17" s="21">
        <v>5</v>
      </c>
      <c r="J17" s="21">
        <v>1</v>
      </c>
      <c r="K17" s="52">
        <f>SUM(B17:J17)</f>
        <v>76</v>
      </c>
      <c r="M17" s="12" t="s">
        <v>92</v>
      </c>
      <c r="N17" s="81">
        <v>0</v>
      </c>
      <c r="O17" s="81">
        <v>6</v>
      </c>
      <c r="P17" s="81">
        <v>3</v>
      </c>
      <c r="Q17" s="81">
        <v>8</v>
      </c>
      <c r="R17" s="81">
        <v>3</v>
      </c>
      <c r="S17" s="81">
        <v>1</v>
      </c>
      <c r="T17" s="81">
        <v>3</v>
      </c>
      <c r="U17" s="81">
        <v>2</v>
      </c>
      <c r="V17">
        <f>SUM(N17:U17)</f>
        <v>26</v>
      </c>
    </row>
    <row r="18" spans="1:22" ht="22.9" customHeight="1" x14ac:dyDescent="0.2">
      <c r="A18" s="8" t="s">
        <v>75</v>
      </c>
      <c r="B18" s="14">
        <f>SUM(B12-B13-B14-B15-B16-B17)</f>
        <v>2</v>
      </c>
      <c r="C18" s="14">
        <f t="shared" ref="C18:K18" si="8">SUM(C12-C13-C14-C15-C16-C17)</f>
        <v>145</v>
      </c>
      <c r="D18" s="14">
        <f t="shared" si="8"/>
        <v>1432</v>
      </c>
      <c r="E18" s="14">
        <f t="shared" si="8"/>
        <v>8888</v>
      </c>
      <c r="F18" s="14">
        <f t="shared" si="8"/>
        <v>8659</v>
      </c>
      <c r="G18" s="14">
        <f t="shared" si="8"/>
        <v>3891</v>
      </c>
      <c r="H18" s="14">
        <f t="shared" si="8"/>
        <v>1920</v>
      </c>
      <c r="I18" s="14">
        <f t="shared" si="8"/>
        <v>2417</v>
      </c>
      <c r="J18" s="14">
        <f t="shared" si="8"/>
        <v>320</v>
      </c>
      <c r="K18" s="52">
        <f t="shared" si="8"/>
        <v>27674</v>
      </c>
      <c r="L18" s="12"/>
      <c r="N18">
        <f>N16+N17</f>
        <v>2</v>
      </c>
      <c r="O18">
        <f t="shared" ref="O18:U18" si="9">O16+O17</f>
        <v>14</v>
      </c>
      <c r="P18">
        <f t="shared" si="9"/>
        <v>38</v>
      </c>
      <c r="Q18">
        <f t="shared" si="9"/>
        <v>30</v>
      </c>
      <c r="R18">
        <f t="shared" si="9"/>
        <v>18</v>
      </c>
      <c r="S18">
        <f t="shared" si="9"/>
        <v>15</v>
      </c>
      <c r="T18">
        <f t="shared" si="9"/>
        <v>30</v>
      </c>
      <c r="U18">
        <f t="shared" si="9"/>
        <v>16</v>
      </c>
    </row>
    <row r="19" spans="1:22" ht="34.9" customHeight="1" x14ac:dyDescent="0.2">
      <c r="A19" s="8" t="s">
        <v>76</v>
      </c>
      <c r="B19" s="24">
        <f>SUM((B13*0.75)+(B14*0.75)+(B15*0.5)+(B16*0.5)+ (B17*1.5)+B18)</f>
        <v>2</v>
      </c>
      <c r="C19" s="24">
        <f t="shared" ref="C19:J19" si="10">SUM((C13*0.75)+(C14*0.75)+(C15*0.5)+(C16*0.5)+ (C17*1.5)+C18)</f>
        <v>1131.25</v>
      </c>
      <c r="D19" s="24">
        <f t="shared" si="10"/>
        <v>5017.5</v>
      </c>
      <c r="E19" s="24">
        <f t="shared" si="10"/>
        <v>13416.25</v>
      </c>
      <c r="F19" s="24">
        <f t="shared" si="10"/>
        <v>11936</v>
      </c>
      <c r="G19" s="24">
        <f t="shared" si="10"/>
        <v>5180.5</v>
      </c>
      <c r="H19" s="24">
        <f t="shared" si="10"/>
        <v>2393.25</v>
      </c>
      <c r="I19" s="24">
        <f t="shared" si="10"/>
        <v>2841</v>
      </c>
      <c r="J19" s="24">
        <f t="shared" si="10"/>
        <v>354.75</v>
      </c>
      <c r="K19" s="54">
        <f>SUM(B19:J19)</f>
        <v>42272.5</v>
      </c>
    </row>
    <row r="20" spans="1:22" ht="13.15" customHeight="1" x14ac:dyDescent="0.2">
      <c r="A20" s="8" t="s">
        <v>77</v>
      </c>
      <c r="B20" s="26" t="s">
        <v>21</v>
      </c>
      <c r="C20" s="26" t="s">
        <v>22</v>
      </c>
      <c r="D20" s="27" t="s">
        <v>23</v>
      </c>
      <c r="E20" s="27" t="s">
        <v>24</v>
      </c>
      <c r="F20" s="27">
        <v>1</v>
      </c>
      <c r="G20" s="27" t="s">
        <v>25</v>
      </c>
      <c r="H20" s="27" t="s">
        <v>26</v>
      </c>
      <c r="I20" s="27" t="s">
        <v>27</v>
      </c>
      <c r="J20" s="27" t="s">
        <v>28</v>
      </c>
      <c r="K20" s="50"/>
    </row>
    <row r="21" spans="1:22" ht="3.6" hidden="1" customHeight="1" x14ac:dyDescent="0.2">
      <c r="A21" s="8"/>
      <c r="B21" s="26"/>
      <c r="C21" s="26"/>
      <c r="D21" s="27"/>
      <c r="E21" s="27"/>
      <c r="F21" s="27"/>
      <c r="G21" s="27"/>
      <c r="H21" s="27"/>
      <c r="I21" s="27"/>
      <c r="J21" s="27"/>
      <c r="K21" s="50"/>
    </row>
    <row r="22" spans="1:22" ht="17.45" customHeight="1" x14ac:dyDescent="0.25">
      <c r="A22" s="8" t="s">
        <v>78</v>
      </c>
      <c r="B22" s="28">
        <f>ROUND(B19/9*5,2)</f>
        <v>1.1100000000000001</v>
      </c>
      <c r="C22" s="28">
        <f>ROUND(C19/9*6,2)</f>
        <v>754.17</v>
      </c>
      <c r="D22" s="28">
        <f>ROUND(D19/9*7,2)</f>
        <v>3902.5</v>
      </c>
      <c r="E22" s="28">
        <f>ROUND(E19/9*8,2)</f>
        <v>11925.56</v>
      </c>
      <c r="F22" s="28">
        <f>ROUND(F19*F20,2)</f>
        <v>11936</v>
      </c>
      <c r="G22" s="28">
        <f>ROUND(G19/9*11,2)</f>
        <v>6331.72</v>
      </c>
      <c r="H22" s="28">
        <f>ROUND(H19/9*13,2)</f>
        <v>3456.92</v>
      </c>
      <c r="I22" s="28">
        <f>ROUND(I19/9*15,2)</f>
        <v>4735</v>
      </c>
      <c r="J22" s="28">
        <f>ROUND(J19/9*18,2)</f>
        <v>709.5</v>
      </c>
      <c r="K22" s="54">
        <f>SUM(B22:J22)</f>
        <v>43752.479999999996</v>
      </c>
    </row>
    <row r="23" spans="1:22" ht="25.15" customHeight="1" x14ac:dyDescent="0.25">
      <c r="A23" s="8" t="s">
        <v>89</v>
      </c>
      <c r="B23" s="55"/>
      <c r="C23" s="51"/>
      <c r="D23" s="51"/>
      <c r="E23" s="51"/>
      <c r="F23" s="51"/>
      <c r="G23" s="51"/>
      <c r="H23" s="51"/>
      <c r="I23" s="51"/>
      <c r="J23" s="51"/>
      <c r="K23" s="56">
        <v>0</v>
      </c>
      <c r="L23" s="32"/>
    </row>
    <row r="24" spans="1:22" ht="24.6" customHeight="1" x14ac:dyDescent="0.25">
      <c r="A24" s="8" t="s">
        <v>79</v>
      </c>
      <c r="B24" s="55"/>
      <c r="C24" s="51"/>
      <c r="D24" s="51"/>
      <c r="E24" s="51"/>
      <c r="F24" s="51"/>
      <c r="G24" s="51"/>
      <c r="H24" s="51"/>
      <c r="I24" s="51"/>
      <c r="J24" s="51"/>
      <c r="K24" s="54">
        <f>SUM(K22+K23)</f>
        <v>43752.479999999996</v>
      </c>
      <c r="M24" s="33"/>
    </row>
    <row r="25" spans="1:22" ht="15.6" customHeight="1" thickBot="1" x14ac:dyDescent="0.3">
      <c r="A25" s="34" t="s">
        <v>90</v>
      </c>
      <c r="B25" s="57"/>
      <c r="C25" s="58"/>
      <c r="D25" s="58"/>
      <c r="E25" s="58"/>
      <c r="F25" s="58"/>
      <c r="G25" s="58"/>
      <c r="H25" s="58"/>
      <c r="I25" s="58"/>
      <c r="J25" s="58"/>
      <c r="K25" s="59">
        <f>K24/100*97.5</f>
        <v>42658.667999999998</v>
      </c>
      <c r="M25" s="82"/>
    </row>
    <row r="26" spans="1:22" x14ac:dyDescent="0.2">
      <c r="F26" s="32"/>
      <c r="G26" s="37"/>
      <c r="H26" s="33"/>
      <c r="J26" s="33"/>
      <c r="K26" s="60"/>
    </row>
    <row r="27" spans="1:22" ht="15.75" x14ac:dyDescent="0.25">
      <c r="A27" s="1" t="s">
        <v>80</v>
      </c>
      <c r="C27" s="61"/>
      <c r="D27" s="2" t="s">
        <v>32</v>
      </c>
      <c r="E27" s="61"/>
      <c r="F27" s="61"/>
      <c r="G27" s="61"/>
      <c r="H27" s="61"/>
      <c r="K27" s="62"/>
    </row>
    <row r="28" spans="1:22" ht="16.5" thickBot="1" x14ac:dyDescent="0.3">
      <c r="D28" s="1" t="s">
        <v>55</v>
      </c>
      <c r="K28" s="62"/>
    </row>
    <row r="29" spans="1:22" x14ac:dyDescent="0.2">
      <c r="A29" s="4" t="s">
        <v>0</v>
      </c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3" t="s">
        <v>10</v>
      </c>
    </row>
    <row r="30" spans="1:22" x14ac:dyDescent="0.2">
      <c r="A30" s="8" t="s">
        <v>34</v>
      </c>
      <c r="B30" s="9"/>
      <c r="C30" s="10">
        <v>257</v>
      </c>
      <c r="D30" s="10">
        <v>415</v>
      </c>
      <c r="E30" s="10">
        <v>1405</v>
      </c>
      <c r="F30" s="10">
        <v>260</v>
      </c>
      <c r="G30" s="10">
        <v>133</v>
      </c>
      <c r="H30" s="10">
        <v>56</v>
      </c>
      <c r="I30" s="10">
        <v>8</v>
      </c>
      <c r="J30" s="10">
        <v>1</v>
      </c>
      <c r="K30" s="46">
        <f>SUM(B30:J30)</f>
        <v>2535</v>
      </c>
      <c r="M30" s="2" t="s">
        <v>112</v>
      </c>
    </row>
    <row r="31" spans="1:22" x14ac:dyDescent="0.2">
      <c r="A31" s="8" t="s">
        <v>72</v>
      </c>
      <c r="B31" s="9"/>
      <c r="C31" s="77">
        <v>3</v>
      </c>
      <c r="D31" s="77">
        <v>6</v>
      </c>
      <c r="E31" s="77">
        <v>4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48">
        <f>SUM(C31:J31)</f>
        <v>13</v>
      </c>
      <c r="M31" s="12" t="s">
        <v>44</v>
      </c>
      <c r="N31" s="12" t="s">
        <v>43</v>
      </c>
      <c r="O31" s="43"/>
      <c r="P31" s="12" t="s">
        <v>12</v>
      </c>
      <c r="Q31" s="15" t="s">
        <v>45</v>
      </c>
      <c r="R31" s="15" t="s">
        <v>43</v>
      </c>
      <c r="S31" s="43">
        <v>41958</v>
      </c>
    </row>
    <row r="32" spans="1:22" x14ac:dyDescent="0.2">
      <c r="A32" s="8" t="s">
        <v>83</v>
      </c>
      <c r="B32" s="9"/>
      <c r="C32" s="78"/>
      <c r="D32" s="78"/>
      <c r="E32" s="78"/>
      <c r="F32" s="78"/>
      <c r="G32" s="78"/>
      <c r="H32" s="78"/>
      <c r="I32" s="78"/>
      <c r="J32" s="78"/>
      <c r="K32" s="50">
        <f>SUM(B32:J32)</f>
        <v>0</v>
      </c>
      <c r="N32">
        <v>1</v>
      </c>
      <c r="O32">
        <v>12</v>
      </c>
      <c r="P32">
        <v>14</v>
      </c>
      <c r="Q32">
        <v>7</v>
      </c>
      <c r="R32">
        <v>2</v>
      </c>
      <c r="S32">
        <v>1</v>
      </c>
      <c r="T32">
        <v>0</v>
      </c>
      <c r="U32">
        <v>0</v>
      </c>
      <c r="V32">
        <f>SUM(N32:U32)</f>
        <v>37</v>
      </c>
    </row>
    <row r="33" spans="1:22" x14ac:dyDescent="0.2">
      <c r="A33" s="8" t="s">
        <v>84</v>
      </c>
      <c r="B33" s="9"/>
      <c r="C33" s="10">
        <f>N34</f>
        <v>1</v>
      </c>
      <c r="D33" s="10">
        <f t="shared" ref="D33:J33" si="11">O34</f>
        <v>13</v>
      </c>
      <c r="E33" s="10">
        <f t="shared" si="11"/>
        <v>15</v>
      </c>
      <c r="F33" s="10">
        <f t="shared" si="11"/>
        <v>7</v>
      </c>
      <c r="G33" s="10">
        <f t="shared" si="11"/>
        <v>2</v>
      </c>
      <c r="H33" s="10">
        <f t="shared" si="11"/>
        <v>1</v>
      </c>
      <c r="I33" s="10">
        <f t="shared" si="11"/>
        <v>0</v>
      </c>
      <c r="J33" s="10">
        <f t="shared" si="11"/>
        <v>0</v>
      </c>
      <c r="K33" s="46">
        <f>SUM(C33:J33)</f>
        <v>39</v>
      </c>
      <c r="N33" s="81">
        <v>0</v>
      </c>
      <c r="O33" s="81">
        <v>1</v>
      </c>
      <c r="P33" s="81">
        <v>1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>
        <f>SUM(N33:U33)</f>
        <v>2</v>
      </c>
    </row>
    <row r="34" spans="1:22" x14ac:dyDescent="0.2">
      <c r="A34" s="8" t="s">
        <v>13</v>
      </c>
      <c r="B34" s="9"/>
      <c r="C34" s="80">
        <v>93</v>
      </c>
      <c r="D34" s="80">
        <v>118</v>
      </c>
      <c r="E34" s="80">
        <v>171</v>
      </c>
      <c r="F34" s="80">
        <v>19</v>
      </c>
      <c r="G34" s="80">
        <v>9</v>
      </c>
      <c r="H34" s="80">
        <v>0</v>
      </c>
      <c r="I34" s="80">
        <v>0</v>
      </c>
      <c r="J34" s="80">
        <v>0</v>
      </c>
      <c r="K34" s="46">
        <f>SUM(C34:J34)</f>
        <v>410</v>
      </c>
      <c r="N34">
        <f>N32+N33</f>
        <v>1</v>
      </c>
      <c r="O34">
        <f t="shared" ref="O34:U34" si="12">O32+O33</f>
        <v>13</v>
      </c>
      <c r="P34">
        <f t="shared" si="12"/>
        <v>15</v>
      </c>
      <c r="Q34">
        <f t="shared" si="12"/>
        <v>7</v>
      </c>
      <c r="R34">
        <f t="shared" si="12"/>
        <v>2</v>
      </c>
      <c r="S34">
        <f t="shared" si="12"/>
        <v>1</v>
      </c>
      <c r="T34">
        <f t="shared" si="12"/>
        <v>0</v>
      </c>
      <c r="U34">
        <f t="shared" si="12"/>
        <v>0</v>
      </c>
    </row>
    <row r="35" spans="1:22" ht="22.5" x14ac:dyDescent="0.2">
      <c r="A35" s="8" t="s">
        <v>85</v>
      </c>
      <c r="B35" s="9"/>
      <c r="C35" s="14">
        <f>C30+C31+C32-C33-C34</f>
        <v>166</v>
      </c>
      <c r="D35" s="14">
        <f t="shared" ref="D35:J35" si="13">D30+D31+D32-D33-D34</f>
        <v>290</v>
      </c>
      <c r="E35" s="14">
        <f t="shared" si="13"/>
        <v>1223</v>
      </c>
      <c r="F35" s="14">
        <f t="shared" si="13"/>
        <v>234</v>
      </c>
      <c r="G35" s="14">
        <f t="shared" si="13"/>
        <v>122</v>
      </c>
      <c r="H35" s="14">
        <f t="shared" si="13"/>
        <v>55</v>
      </c>
      <c r="I35" s="14">
        <f t="shared" si="13"/>
        <v>8</v>
      </c>
      <c r="J35" s="14">
        <f t="shared" si="13"/>
        <v>1</v>
      </c>
      <c r="K35" s="46">
        <f>K30+K31+K32-K33-K34</f>
        <v>2099</v>
      </c>
    </row>
    <row r="36" spans="1:22" ht="22.5" x14ac:dyDescent="0.2">
      <c r="A36" s="8" t="s">
        <v>86</v>
      </c>
      <c r="B36" s="9"/>
      <c r="C36" s="14">
        <v>1</v>
      </c>
      <c r="D36" s="14">
        <v>0</v>
      </c>
      <c r="E36" s="14">
        <v>11</v>
      </c>
      <c r="F36" s="14">
        <v>1</v>
      </c>
      <c r="G36" s="14">
        <v>0</v>
      </c>
      <c r="H36" s="14">
        <v>1</v>
      </c>
      <c r="I36" s="14">
        <v>0</v>
      </c>
      <c r="J36" s="14">
        <v>1</v>
      </c>
      <c r="K36" s="50">
        <f>SUM(C36:J36)</f>
        <v>15</v>
      </c>
    </row>
    <row r="37" spans="1:22" ht="33.75" x14ac:dyDescent="0.2">
      <c r="A37" s="8" t="s">
        <v>15</v>
      </c>
      <c r="B37" s="16">
        <f t="shared" ref="B37:I37" si="14">C36</f>
        <v>1</v>
      </c>
      <c r="C37" s="16">
        <f t="shared" si="14"/>
        <v>0</v>
      </c>
      <c r="D37" s="16">
        <f t="shared" si="14"/>
        <v>11</v>
      </c>
      <c r="E37" s="16">
        <f t="shared" si="14"/>
        <v>1</v>
      </c>
      <c r="F37" s="16">
        <f t="shared" si="14"/>
        <v>0</v>
      </c>
      <c r="G37" s="16">
        <f t="shared" si="14"/>
        <v>1</v>
      </c>
      <c r="H37" s="16">
        <f t="shared" si="14"/>
        <v>0</v>
      </c>
      <c r="I37" s="16">
        <f t="shared" si="14"/>
        <v>1</v>
      </c>
      <c r="J37" s="9"/>
      <c r="K37" s="50">
        <f>SUM(B37:I37)</f>
        <v>15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22.5" x14ac:dyDescent="0.2">
      <c r="A38" s="8" t="s">
        <v>16</v>
      </c>
      <c r="B38" s="18">
        <f t="shared" ref="B38:K38" si="15">SUM(B35-B36+B37)</f>
        <v>1</v>
      </c>
      <c r="C38" s="18">
        <f t="shared" si="15"/>
        <v>165</v>
      </c>
      <c r="D38" s="18">
        <f t="shared" si="15"/>
        <v>301</v>
      </c>
      <c r="E38" s="18">
        <f t="shared" si="15"/>
        <v>1213</v>
      </c>
      <c r="F38" s="18">
        <f t="shared" si="15"/>
        <v>233</v>
      </c>
      <c r="G38" s="18">
        <f t="shared" si="15"/>
        <v>123</v>
      </c>
      <c r="H38" s="18">
        <f t="shared" si="15"/>
        <v>54</v>
      </c>
      <c r="I38" s="18">
        <f t="shared" si="15"/>
        <v>9</v>
      </c>
      <c r="J38" s="18">
        <f t="shared" si="15"/>
        <v>0</v>
      </c>
      <c r="K38" s="52">
        <f t="shared" si="15"/>
        <v>2099</v>
      </c>
    </row>
    <row r="39" spans="1:22" ht="22.5" x14ac:dyDescent="0.2">
      <c r="A39" s="8" t="s">
        <v>91</v>
      </c>
      <c r="B39" s="14">
        <v>0</v>
      </c>
      <c r="C39" s="20">
        <v>0</v>
      </c>
      <c r="D39" s="20">
        <v>1</v>
      </c>
      <c r="E39" s="20">
        <v>2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52">
        <f>SUM(B39:J39)</f>
        <v>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22.5" x14ac:dyDescent="0.2">
      <c r="A40" s="8" t="s">
        <v>87</v>
      </c>
      <c r="B40" s="14">
        <v>0</v>
      </c>
      <c r="C40" s="14">
        <f>129+2</f>
        <v>131</v>
      </c>
      <c r="D40" s="14">
        <f>230+3</f>
        <v>233</v>
      </c>
      <c r="E40" s="14">
        <f>377+15</f>
        <v>392</v>
      </c>
      <c r="F40" s="14">
        <f>63+4</f>
        <v>67</v>
      </c>
      <c r="G40" s="14">
        <f>31+2</f>
        <v>33</v>
      </c>
      <c r="H40" s="14">
        <f>10+0</f>
        <v>10</v>
      </c>
      <c r="I40" s="14">
        <f>1+1</f>
        <v>2</v>
      </c>
      <c r="J40" s="14">
        <v>0</v>
      </c>
      <c r="K40" s="52">
        <f>SUM(B40:J40)</f>
        <v>868</v>
      </c>
      <c r="L40" s="12"/>
      <c r="M40" s="12" t="s">
        <v>93</v>
      </c>
      <c r="N40">
        <v>0</v>
      </c>
      <c r="O40">
        <v>3</v>
      </c>
      <c r="P40">
        <v>15</v>
      </c>
      <c r="Q40">
        <v>0</v>
      </c>
      <c r="R40">
        <v>0</v>
      </c>
      <c r="S40">
        <v>1</v>
      </c>
      <c r="T40">
        <v>1</v>
      </c>
      <c r="U40">
        <v>0</v>
      </c>
      <c r="V40">
        <f>SUM(N40:U40)</f>
        <v>20</v>
      </c>
    </row>
    <row r="41" spans="1:22" ht="22.5" x14ac:dyDescent="0.2">
      <c r="A41" s="8" t="s">
        <v>88</v>
      </c>
      <c r="B41" s="21">
        <v>0</v>
      </c>
      <c r="C41" s="21">
        <f>N42</f>
        <v>0</v>
      </c>
      <c r="D41" s="21">
        <f t="shared" ref="D41:J41" si="16">O42</f>
        <v>3</v>
      </c>
      <c r="E41" s="21">
        <f t="shared" si="16"/>
        <v>15</v>
      </c>
      <c r="F41" s="21">
        <f t="shared" si="16"/>
        <v>0</v>
      </c>
      <c r="G41" s="21">
        <f t="shared" si="16"/>
        <v>0</v>
      </c>
      <c r="H41" s="21">
        <f t="shared" si="16"/>
        <v>1</v>
      </c>
      <c r="I41" s="21">
        <f t="shared" si="16"/>
        <v>1</v>
      </c>
      <c r="J41" s="21">
        <f t="shared" si="16"/>
        <v>0</v>
      </c>
      <c r="K41" s="53">
        <f>SUM(B41:J41)</f>
        <v>20</v>
      </c>
      <c r="L41" s="12"/>
      <c r="M41" s="12" t="s">
        <v>92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>
        <f>SUM(N41:U41)</f>
        <v>0</v>
      </c>
    </row>
    <row r="42" spans="1:22" x14ac:dyDescent="0.2">
      <c r="A42" s="8" t="s">
        <v>73</v>
      </c>
      <c r="B42" s="21">
        <v>0</v>
      </c>
      <c r="C42" s="21">
        <f t="shared" ref="C42:J42" si="17">C32</f>
        <v>0</v>
      </c>
      <c r="D42" s="21">
        <f t="shared" si="17"/>
        <v>0</v>
      </c>
      <c r="E42" s="21">
        <f t="shared" si="17"/>
        <v>0</v>
      </c>
      <c r="F42" s="21">
        <f t="shared" si="17"/>
        <v>0</v>
      </c>
      <c r="G42" s="21">
        <f t="shared" si="17"/>
        <v>0</v>
      </c>
      <c r="H42" s="21">
        <f t="shared" si="17"/>
        <v>0</v>
      </c>
      <c r="I42" s="21">
        <f t="shared" si="17"/>
        <v>0</v>
      </c>
      <c r="J42" s="21">
        <f t="shared" si="17"/>
        <v>0</v>
      </c>
      <c r="K42" s="53">
        <f>SUM(B42:J42)</f>
        <v>0</v>
      </c>
      <c r="N42">
        <f>N40+N41</f>
        <v>0</v>
      </c>
      <c r="O42">
        <f t="shared" ref="O42:U42" si="18">O40+O41</f>
        <v>3</v>
      </c>
      <c r="P42">
        <f t="shared" si="18"/>
        <v>15</v>
      </c>
      <c r="Q42">
        <f t="shared" si="18"/>
        <v>0</v>
      </c>
      <c r="R42">
        <f t="shared" si="18"/>
        <v>0</v>
      </c>
      <c r="S42">
        <f t="shared" si="18"/>
        <v>1</v>
      </c>
      <c r="T42">
        <f t="shared" si="18"/>
        <v>1</v>
      </c>
      <c r="U42">
        <f t="shared" si="18"/>
        <v>0</v>
      </c>
    </row>
    <row r="43" spans="1:22" x14ac:dyDescent="0.2">
      <c r="A43" s="8" t="s">
        <v>74</v>
      </c>
      <c r="B43" s="14">
        <v>0</v>
      </c>
      <c r="C43" s="21">
        <v>2</v>
      </c>
      <c r="D43" s="21">
        <v>1</v>
      </c>
      <c r="E43" s="21">
        <v>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52">
        <f>SUM(B43:J43)</f>
        <v>6</v>
      </c>
    </row>
    <row r="44" spans="1:22" ht="22.5" x14ac:dyDescent="0.2">
      <c r="A44" s="8" t="s">
        <v>75</v>
      </c>
      <c r="B44" s="14">
        <f>SUM(B38-B39-B40-B41-B42-B43)</f>
        <v>1</v>
      </c>
      <c r="C44" s="14">
        <f t="shared" ref="C44:K44" si="19">SUM(C38-C39-C40-C41-C42-C43)</f>
        <v>32</v>
      </c>
      <c r="D44" s="14">
        <f t="shared" si="19"/>
        <v>63</v>
      </c>
      <c r="E44" s="14">
        <f t="shared" si="19"/>
        <v>801</v>
      </c>
      <c r="F44" s="14">
        <f t="shared" si="19"/>
        <v>166</v>
      </c>
      <c r="G44" s="14">
        <f t="shared" si="19"/>
        <v>89</v>
      </c>
      <c r="H44" s="14">
        <f t="shared" si="19"/>
        <v>43</v>
      </c>
      <c r="I44" s="14">
        <f t="shared" si="19"/>
        <v>6</v>
      </c>
      <c r="J44" s="14">
        <f t="shared" si="19"/>
        <v>0</v>
      </c>
      <c r="K44" s="52">
        <f t="shared" si="19"/>
        <v>1201</v>
      </c>
    </row>
    <row r="45" spans="1:22" ht="33.75" x14ac:dyDescent="0.2">
      <c r="A45" s="8" t="s">
        <v>76</v>
      </c>
      <c r="B45" s="24">
        <f>SUM((B39*0.75)+(B40*0.75)+(B41*0.5)+(B42*0.5)+ (B43*1.5)+B44)</f>
        <v>1</v>
      </c>
      <c r="C45" s="24">
        <f t="shared" ref="C45:J45" si="20">SUM((C39*0.75)+(C40*0.75)+(C41*0.5)+(C42*0.5)+ (C43*1.5)+C44)</f>
        <v>133.25</v>
      </c>
      <c r="D45" s="24">
        <f t="shared" si="20"/>
        <v>241.5</v>
      </c>
      <c r="E45" s="24">
        <f t="shared" si="20"/>
        <v>1108.5</v>
      </c>
      <c r="F45" s="24">
        <f t="shared" si="20"/>
        <v>216.25</v>
      </c>
      <c r="G45" s="24">
        <f t="shared" si="20"/>
        <v>114.5</v>
      </c>
      <c r="H45" s="24">
        <f t="shared" si="20"/>
        <v>51</v>
      </c>
      <c r="I45" s="24">
        <f t="shared" si="20"/>
        <v>8</v>
      </c>
      <c r="J45" s="24">
        <f t="shared" si="20"/>
        <v>0</v>
      </c>
      <c r="K45" s="56">
        <f>SUM(B45:J45)</f>
        <v>1874</v>
      </c>
    </row>
    <row r="46" spans="1:22" x14ac:dyDescent="0.2">
      <c r="A46" s="8" t="s">
        <v>77</v>
      </c>
      <c r="B46" s="26" t="s">
        <v>21</v>
      </c>
      <c r="C46" s="26" t="s">
        <v>22</v>
      </c>
      <c r="D46" s="27" t="s">
        <v>23</v>
      </c>
      <c r="E46" s="27" t="s">
        <v>24</v>
      </c>
      <c r="F46" s="27">
        <v>1</v>
      </c>
      <c r="G46" s="27" t="s">
        <v>25</v>
      </c>
      <c r="H46" s="27" t="s">
        <v>26</v>
      </c>
      <c r="I46" s="27" t="s">
        <v>27</v>
      </c>
      <c r="J46" s="27" t="s">
        <v>28</v>
      </c>
      <c r="K46" s="50"/>
    </row>
    <row r="47" spans="1:22" x14ac:dyDescent="0.2">
      <c r="A47" s="8"/>
      <c r="B47" s="26"/>
      <c r="C47" s="26"/>
      <c r="D47" s="27"/>
      <c r="E47" s="27"/>
      <c r="F47" s="27"/>
      <c r="G47" s="27"/>
      <c r="H47" s="27"/>
      <c r="I47" s="27"/>
      <c r="J47" s="27"/>
      <c r="K47" s="50"/>
    </row>
    <row r="48" spans="1:22" ht="15" x14ac:dyDescent="0.25">
      <c r="A48" s="8" t="s">
        <v>78</v>
      </c>
      <c r="B48" s="28">
        <f>ROUND(B45/9*5,2)</f>
        <v>0.56000000000000005</v>
      </c>
      <c r="C48" s="28">
        <f>ROUND(C45/9*6,2)</f>
        <v>88.83</v>
      </c>
      <c r="D48" s="28">
        <f>ROUND(D45/9*7,2)</f>
        <v>187.83</v>
      </c>
      <c r="E48" s="28">
        <f>ROUND(E45/9*8,2)</f>
        <v>985.33</v>
      </c>
      <c r="F48" s="28">
        <f>ROUND(F45*F46,2)</f>
        <v>216.25</v>
      </c>
      <c r="G48" s="28">
        <f>ROUND(G45/9*11,2)</f>
        <v>139.94</v>
      </c>
      <c r="H48" s="28">
        <f>ROUND(H45/9*13,2)</f>
        <v>73.67</v>
      </c>
      <c r="I48" s="28">
        <f>ROUND(I45/9*15,2)</f>
        <v>13.33</v>
      </c>
      <c r="J48" s="28">
        <f>ROUND(J45/9*18,2)</f>
        <v>0</v>
      </c>
      <c r="K48" s="54">
        <f>SUM(B48:J48)</f>
        <v>1705.7400000000002</v>
      </c>
      <c r="L48" s="32"/>
    </row>
    <row r="49" spans="1:22" ht="23.25" x14ac:dyDescent="0.25">
      <c r="A49" s="8" t="s">
        <v>89</v>
      </c>
      <c r="B49" s="55"/>
      <c r="C49" s="51"/>
      <c r="D49" s="51"/>
      <c r="E49" s="51"/>
      <c r="F49" s="51"/>
      <c r="G49" s="51"/>
      <c r="H49" s="51"/>
      <c r="I49" s="51"/>
      <c r="J49" s="51"/>
      <c r="K49" s="56">
        <v>0</v>
      </c>
      <c r="L49" s="37"/>
    </row>
    <row r="50" spans="1:22" ht="23.25" x14ac:dyDescent="0.25">
      <c r="A50" s="8" t="s">
        <v>79</v>
      </c>
      <c r="B50" s="55"/>
      <c r="C50" s="51"/>
      <c r="D50" s="51"/>
      <c r="E50" s="51"/>
      <c r="F50" s="51"/>
      <c r="G50" s="51"/>
      <c r="H50" s="51"/>
      <c r="I50" s="51"/>
      <c r="J50" s="51"/>
      <c r="K50" s="54">
        <f>SUM(K48+K49)</f>
        <v>1705.7400000000002</v>
      </c>
    </row>
    <row r="51" spans="1:22" ht="16.5" thickBot="1" x14ac:dyDescent="0.3">
      <c r="A51" s="34" t="s">
        <v>90</v>
      </c>
      <c r="B51" s="57"/>
      <c r="C51" s="58"/>
      <c r="D51" s="58"/>
      <c r="E51" s="58"/>
      <c r="F51" s="58"/>
      <c r="G51" s="58"/>
      <c r="H51" s="58"/>
      <c r="I51" s="58"/>
      <c r="J51" s="58"/>
      <c r="K51" s="59">
        <f>K50/100*97.5</f>
        <v>1663.0965000000001</v>
      </c>
    </row>
    <row r="52" spans="1:22" ht="15.75" x14ac:dyDescent="0.25">
      <c r="A52" s="1" t="s">
        <v>80</v>
      </c>
      <c r="D52" s="2" t="s">
        <v>32</v>
      </c>
      <c r="K52" s="62"/>
    </row>
    <row r="53" spans="1:22" ht="16.5" thickBot="1" x14ac:dyDescent="0.3">
      <c r="D53" s="1" t="s">
        <v>56</v>
      </c>
      <c r="K53" s="62"/>
    </row>
    <row r="54" spans="1:22" x14ac:dyDescent="0.2">
      <c r="A54" s="4" t="s">
        <v>0</v>
      </c>
      <c r="B54" s="5" t="s">
        <v>1</v>
      </c>
      <c r="C54" s="6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  <c r="K54" s="63" t="s">
        <v>10</v>
      </c>
    </row>
    <row r="55" spans="1:22" x14ac:dyDescent="0.2">
      <c r="A55" s="8" t="s">
        <v>34</v>
      </c>
      <c r="B55" s="9"/>
      <c r="C55" s="10">
        <v>84</v>
      </c>
      <c r="D55" s="10">
        <v>56</v>
      </c>
      <c r="E55" s="10">
        <v>297</v>
      </c>
      <c r="F55" s="10">
        <v>780</v>
      </c>
      <c r="G55" s="10">
        <v>153</v>
      </c>
      <c r="H55" s="10">
        <v>25</v>
      </c>
      <c r="I55" s="10">
        <v>71</v>
      </c>
      <c r="J55" s="10">
        <v>3</v>
      </c>
      <c r="K55" s="46">
        <f>SUM(B55:J55)</f>
        <v>1469</v>
      </c>
      <c r="M55" s="2" t="s">
        <v>112</v>
      </c>
    </row>
    <row r="56" spans="1:22" x14ac:dyDescent="0.2">
      <c r="A56" s="8" t="s">
        <v>72</v>
      </c>
      <c r="B56" s="9"/>
      <c r="C56" s="77"/>
      <c r="D56" s="77"/>
      <c r="E56" s="77"/>
      <c r="F56" s="77"/>
      <c r="G56" s="77"/>
      <c r="H56" s="77"/>
      <c r="I56" s="77"/>
      <c r="J56" s="77"/>
      <c r="K56" s="48">
        <f>SUM(C56:J56)</f>
        <v>0</v>
      </c>
      <c r="M56" s="12" t="s">
        <v>44</v>
      </c>
      <c r="N56" s="12" t="s">
        <v>43</v>
      </c>
      <c r="O56" s="43"/>
      <c r="P56" s="12" t="s">
        <v>12</v>
      </c>
      <c r="Q56" s="15" t="s">
        <v>45</v>
      </c>
      <c r="R56" s="15" t="s">
        <v>43</v>
      </c>
      <c r="S56" s="43">
        <v>41958</v>
      </c>
    </row>
    <row r="57" spans="1:22" x14ac:dyDescent="0.2">
      <c r="A57" s="8" t="s">
        <v>83</v>
      </c>
      <c r="B57" s="9"/>
      <c r="C57" s="78"/>
      <c r="D57" s="78"/>
      <c r="E57" s="78"/>
      <c r="F57" s="78"/>
      <c r="G57" s="78"/>
      <c r="H57" s="78"/>
      <c r="I57" s="78"/>
      <c r="J57" s="78"/>
      <c r="K57" s="50">
        <f>SUM(B57:J57)</f>
        <v>0</v>
      </c>
      <c r="N57">
        <v>3</v>
      </c>
      <c r="O57">
        <v>1</v>
      </c>
      <c r="P57">
        <v>11</v>
      </c>
      <c r="Q57">
        <v>11</v>
      </c>
      <c r="R57">
        <v>0</v>
      </c>
      <c r="S57">
        <v>0</v>
      </c>
      <c r="T57">
        <v>0</v>
      </c>
      <c r="U57">
        <v>0</v>
      </c>
      <c r="V57">
        <f>SUM(N57:U57)</f>
        <v>26</v>
      </c>
    </row>
    <row r="58" spans="1:22" x14ac:dyDescent="0.2">
      <c r="A58" s="8" t="s">
        <v>84</v>
      </c>
      <c r="B58" s="9"/>
      <c r="C58" s="10">
        <f>N59</f>
        <v>3</v>
      </c>
      <c r="D58" s="10">
        <f t="shared" ref="D58:J58" si="21">O59</f>
        <v>1</v>
      </c>
      <c r="E58" s="85">
        <v>4</v>
      </c>
      <c r="F58" s="10">
        <f t="shared" si="21"/>
        <v>12</v>
      </c>
      <c r="G58" s="10">
        <f t="shared" si="21"/>
        <v>1</v>
      </c>
      <c r="H58" s="10">
        <f t="shared" si="21"/>
        <v>0</v>
      </c>
      <c r="I58" s="10">
        <f t="shared" si="21"/>
        <v>0</v>
      </c>
      <c r="J58" s="10">
        <f t="shared" si="21"/>
        <v>0</v>
      </c>
      <c r="K58" s="46">
        <f>SUM(C58:J58)</f>
        <v>21</v>
      </c>
      <c r="N58" s="81">
        <v>0</v>
      </c>
      <c r="O58" s="81">
        <v>0</v>
      </c>
      <c r="P58" s="81">
        <v>0</v>
      </c>
      <c r="Q58" s="81">
        <v>1</v>
      </c>
      <c r="R58" s="81">
        <v>1</v>
      </c>
      <c r="S58" s="81">
        <v>0</v>
      </c>
      <c r="T58" s="81">
        <v>0</v>
      </c>
      <c r="U58" s="81">
        <v>0</v>
      </c>
      <c r="V58">
        <f>SUM(N58:U58)</f>
        <v>2</v>
      </c>
    </row>
    <row r="59" spans="1:22" x14ac:dyDescent="0.2">
      <c r="A59" s="8" t="s">
        <v>13</v>
      </c>
      <c r="B59" s="9"/>
      <c r="C59" s="80">
        <v>12</v>
      </c>
      <c r="D59" s="80">
        <v>7</v>
      </c>
      <c r="E59" s="80">
        <v>37</v>
      </c>
      <c r="F59" s="80">
        <v>54</v>
      </c>
      <c r="G59" s="80">
        <v>5</v>
      </c>
      <c r="H59" s="80">
        <v>0</v>
      </c>
      <c r="I59" s="80">
        <v>0</v>
      </c>
      <c r="J59" s="80">
        <v>0</v>
      </c>
      <c r="K59" s="46">
        <f>SUM(C59:J59)</f>
        <v>115</v>
      </c>
      <c r="L59" s="12"/>
      <c r="N59">
        <f>N57+N58</f>
        <v>3</v>
      </c>
      <c r="O59">
        <f t="shared" ref="O59:U59" si="22">O57+O58</f>
        <v>1</v>
      </c>
      <c r="P59">
        <f t="shared" si="22"/>
        <v>11</v>
      </c>
      <c r="Q59">
        <f t="shared" si="22"/>
        <v>12</v>
      </c>
      <c r="R59">
        <f t="shared" si="22"/>
        <v>1</v>
      </c>
      <c r="S59">
        <f t="shared" si="22"/>
        <v>0</v>
      </c>
      <c r="T59">
        <f t="shared" si="22"/>
        <v>0</v>
      </c>
      <c r="U59">
        <f t="shared" si="22"/>
        <v>0</v>
      </c>
    </row>
    <row r="60" spans="1:22" ht="22.5" x14ac:dyDescent="0.2">
      <c r="A60" s="8" t="s">
        <v>85</v>
      </c>
      <c r="B60" s="9"/>
      <c r="C60" s="14">
        <f>C55+C56+C57-C58-C59</f>
        <v>69</v>
      </c>
      <c r="D60" s="14">
        <f t="shared" ref="D60:J60" si="23">D55+D56+D57-D58-D59</f>
        <v>48</v>
      </c>
      <c r="E60" s="14">
        <f t="shared" si="23"/>
        <v>256</v>
      </c>
      <c r="F60" s="14">
        <f t="shared" si="23"/>
        <v>714</v>
      </c>
      <c r="G60" s="14">
        <f t="shared" si="23"/>
        <v>147</v>
      </c>
      <c r="H60" s="14">
        <f t="shared" si="23"/>
        <v>25</v>
      </c>
      <c r="I60" s="14">
        <f t="shared" si="23"/>
        <v>71</v>
      </c>
      <c r="J60" s="14">
        <f t="shared" si="23"/>
        <v>3</v>
      </c>
      <c r="K60" s="46">
        <f>K55+K56+K57-K58-K59</f>
        <v>1333</v>
      </c>
    </row>
    <row r="61" spans="1:22" ht="22.5" x14ac:dyDescent="0.2">
      <c r="A61" s="8" t="s">
        <v>86</v>
      </c>
      <c r="B61" s="9"/>
      <c r="C61" s="14">
        <v>1</v>
      </c>
      <c r="D61" s="14">
        <v>0</v>
      </c>
      <c r="E61" s="14">
        <v>2</v>
      </c>
      <c r="F61" s="14">
        <v>6</v>
      </c>
      <c r="G61" s="14">
        <v>0</v>
      </c>
      <c r="H61" s="14">
        <v>0</v>
      </c>
      <c r="I61" s="14">
        <v>2</v>
      </c>
      <c r="J61" s="14">
        <v>0</v>
      </c>
      <c r="K61" s="50">
        <f>SUM(C61:J61)</f>
        <v>11</v>
      </c>
    </row>
    <row r="62" spans="1:22" ht="33.75" x14ac:dyDescent="0.2">
      <c r="A62" s="8" t="s">
        <v>15</v>
      </c>
      <c r="B62" s="16">
        <f t="shared" ref="B62:I62" si="24">C61</f>
        <v>1</v>
      </c>
      <c r="C62" s="16">
        <f t="shared" si="24"/>
        <v>0</v>
      </c>
      <c r="D62" s="16">
        <f t="shared" si="24"/>
        <v>2</v>
      </c>
      <c r="E62" s="16">
        <f t="shared" si="24"/>
        <v>6</v>
      </c>
      <c r="F62" s="16">
        <f t="shared" si="24"/>
        <v>0</v>
      </c>
      <c r="G62" s="16">
        <f t="shared" si="24"/>
        <v>0</v>
      </c>
      <c r="H62" s="16">
        <f t="shared" si="24"/>
        <v>2</v>
      </c>
      <c r="I62" s="16">
        <f t="shared" si="24"/>
        <v>0</v>
      </c>
      <c r="J62" s="9"/>
      <c r="K62" s="50">
        <f>SUM(B62:I62)</f>
        <v>11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22.5" x14ac:dyDescent="0.2">
      <c r="A63" s="8" t="s">
        <v>16</v>
      </c>
      <c r="B63" s="18">
        <f t="shared" ref="B63:K63" si="25">SUM(B60-B61+B62)</f>
        <v>1</v>
      </c>
      <c r="C63" s="18">
        <f t="shared" si="25"/>
        <v>68</v>
      </c>
      <c r="D63" s="18">
        <f t="shared" si="25"/>
        <v>50</v>
      </c>
      <c r="E63" s="18">
        <f t="shared" si="25"/>
        <v>260</v>
      </c>
      <c r="F63" s="18">
        <f t="shared" si="25"/>
        <v>708</v>
      </c>
      <c r="G63" s="18">
        <f t="shared" si="25"/>
        <v>147</v>
      </c>
      <c r="H63" s="18">
        <f t="shared" si="25"/>
        <v>27</v>
      </c>
      <c r="I63" s="18">
        <f t="shared" si="25"/>
        <v>69</v>
      </c>
      <c r="J63" s="18">
        <f t="shared" si="25"/>
        <v>3</v>
      </c>
      <c r="K63" s="52">
        <f t="shared" si="25"/>
        <v>1333</v>
      </c>
    </row>
    <row r="64" spans="1:22" ht="22.5" x14ac:dyDescent="0.2">
      <c r="A64" s="8" t="s">
        <v>91</v>
      </c>
      <c r="B64" s="14">
        <v>0</v>
      </c>
      <c r="C64" s="20">
        <v>0</v>
      </c>
      <c r="D64" s="20">
        <v>0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52">
        <f>SUM(B64:J64)</f>
        <v>1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2.5" x14ac:dyDescent="0.2">
      <c r="A65" s="8" t="s">
        <v>87</v>
      </c>
      <c r="B65" s="14">
        <v>0</v>
      </c>
      <c r="C65" s="14">
        <f>42+1</f>
        <v>43</v>
      </c>
      <c r="D65" s="14">
        <f>23+2</f>
        <v>25</v>
      </c>
      <c r="E65" s="14">
        <f>100+12</f>
        <v>112</v>
      </c>
      <c r="F65" s="14">
        <f>207+16</f>
        <v>223</v>
      </c>
      <c r="G65" s="14">
        <f>36+2</f>
        <v>38</v>
      </c>
      <c r="H65" s="14">
        <f>6+1</f>
        <v>7</v>
      </c>
      <c r="I65" s="14">
        <f>14+1</f>
        <v>15</v>
      </c>
      <c r="J65" s="14">
        <f>0+0</f>
        <v>0</v>
      </c>
      <c r="K65" s="52">
        <f>SUM(B65:J65)</f>
        <v>463</v>
      </c>
      <c r="M65" s="12" t="s">
        <v>93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f>SUM(N65:U65)</f>
        <v>0</v>
      </c>
    </row>
    <row r="66" spans="1:22" ht="22.5" x14ac:dyDescent="0.2">
      <c r="A66" s="8" t="s">
        <v>88</v>
      </c>
      <c r="B66" s="21">
        <v>0</v>
      </c>
      <c r="C66" s="21">
        <f>N67</f>
        <v>0</v>
      </c>
      <c r="D66" s="21">
        <f t="shared" ref="D66:J66" si="26">O67</f>
        <v>0</v>
      </c>
      <c r="E66" s="21">
        <f t="shared" si="26"/>
        <v>0</v>
      </c>
      <c r="F66" s="21">
        <f t="shared" si="26"/>
        <v>0</v>
      </c>
      <c r="G66" s="21">
        <f t="shared" si="26"/>
        <v>0</v>
      </c>
      <c r="H66" s="21">
        <f t="shared" si="26"/>
        <v>0</v>
      </c>
      <c r="I66" s="21">
        <f t="shared" si="26"/>
        <v>0</v>
      </c>
      <c r="J66" s="21">
        <f t="shared" si="26"/>
        <v>0</v>
      </c>
      <c r="K66" s="53">
        <f>SUM(B66:J66)</f>
        <v>0</v>
      </c>
      <c r="M66" s="12" t="s">
        <v>92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>
        <f>SUM(N66:U66)</f>
        <v>0</v>
      </c>
    </row>
    <row r="67" spans="1:22" x14ac:dyDescent="0.2">
      <c r="A67" s="8" t="s">
        <v>73</v>
      </c>
      <c r="B67" s="21">
        <v>0</v>
      </c>
      <c r="C67" s="21">
        <f t="shared" ref="C67:J67" si="27">C57</f>
        <v>0</v>
      </c>
      <c r="D67" s="21">
        <f t="shared" si="27"/>
        <v>0</v>
      </c>
      <c r="E67" s="21">
        <f t="shared" si="27"/>
        <v>0</v>
      </c>
      <c r="F67" s="21">
        <f t="shared" si="27"/>
        <v>0</v>
      </c>
      <c r="G67" s="21">
        <f t="shared" si="27"/>
        <v>0</v>
      </c>
      <c r="H67" s="21">
        <f t="shared" si="27"/>
        <v>0</v>
      </c>
      <c r="I67" s="21">
        <f t="shared" si="27"/>
        <v>0</v>
      </c>
      <c r="J67" s="21">
        <f t="shared" si="27"/>
        <v>0</v>
      </c>
      <c r="K67" s="53">
        <f>SUM(B67:J67)</f>
        <v>0</v>
      </c>
      <c r="N67">
        <f>N65+N66</f>
        <v>0</v>
      </c>
      <c r="O67">
        <f t="shared" ref="O67:U67" si="28">O65+O66</f>
        <v>0</v>
      </c>
      <c r="P67">
        <f t="shared" si="28"/>
        <v>0</v>
      </c>
      <c r="Q67">
        <f t="shared" si="28"/>
        <v>0</v>
      </c>
      <c r="R67">
        <f t="shared" si="28"/>
        <v>0</v>
      </c>
      <c r="S67">
        <f t="shared" si="28"/>
        <v>0</v>
      </c>
      <c r="T67">
        <f t="shared" si="28"/>
        <v>0</v>
      </c>
      <c r="U67">
        <f t="shared" si="28"/>
        <v>0</v>
      </c>
    </row>
    <row r="68" spans="1:22" x14ac:dyDescent="0.2">
      <c r="A68" s="8" t="s">
        <v>74</v>
      </c>
      <c r="B68" s="14">
        <v>0</v>
      </c>
      <c r="C68" s="21">
        <v>0</v>
      </c>
      <c r="D68" s="21">
        <v>4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52">
        <f>SUM(B68:J68)</f>
        <v>5</v>
      </c>
    </row>
    <row r="69" spans="1:22" ht="22.5" x14ac:dyDescent="0.2">
      <c r="A69" s="8" t="s">
        <v>75</v>
      </c>
      <c r="B69" s="14">
        <f>SUM(B63-B64-B65-B66-B67-B68)</f>
        <v>1</v>
      </c>
      <c r="C69" s="14">
        <f t="shared" ref="C69:K69" si="29">SUM(C63-C64-C65-C66-C67-C68)</f>
        <v>25</v>
      </c>
      <c r="D69" s="14">
        <f t="shared" si="29"/>
        <v>21</v>
      </c>
      <c r="E69" s="14">
        <f t="shared" si="29"/>
        <v>147</v>
      </c>
      <c r="F69" s="14">
        <f t="shared" si="29"/>
        <v>485</v>
      </c>
      <c r="G69" s="14">
        <f t="shared" si="29"/>
        <v>108</v>
      </c>
      <c r="H69" s="14">
        <f t="shared" si="29"/>
        <v>20</v>
      </c>
      <c r="I69" s="14">
        <f t="shared" si="29"/>
        <v>54</v>
      </c>
      <c r="J69" s="14">
        <f t="shared" si="29"/>
        <v>3</v>
      </c>
      <c r="K69" s="52">
        <f t="shared" si="29"/>
        <v>864</v>
      </c>
    </row>
    <row r="70" spans="1:22" ht="33.75" x14ac:dyDescent="0.2">
      <c r="A70" s="8" t="s">
        <v>76</v>
      </c>
      <c r="B70" s="24">
        <f>SUM((B64*0.75)+(B65*0.75)+(B66*0.5)+(B67*0.5)+ (B68*1.5)+B69)</f>
        <v>1</v>
      </c>
      <c r="C70" s="24">
        <f t="shared" ref="C70:J70" si="30">SUM((C64*0.75)+(C65*0.75)+(C66*0.5)+(C67*0.5)+ (C68*1.5)+C69)</f>
        <v>57.25</v>
      </c>
      <c r="D70" s="24">
        <f t="shared" si="30"/>
        <v>45.75</v>
      </c>
      <c r="E70" s="24">
        <f t="shared" si="30"/>
        <v>232.5</v>
      </c>
      <c r="F70" s="24">
        <f t="shared" si="30"/>
        <v>652.25</v>
      </c>
      <c r="G70" s="24">
        <f t="shared" si="30"/>
        <v>137.25</v>
      </c>
      <c r="H70" s="24">
        <f t="shared" si="30"/>
        <v>25.25</v>
      </c>
      <c r="I70" s="24">
        <f t="shared" si="30"/>
        <v>65.25</v>
      </c>
      <c r="J70" s="24">
        <f t="shared" si="30"/>
        <v>3</v>
      </c>
      <c r="K70" s="54">
        <f>SUM(B70:J70)</f>
        <v>1219.5</v>
      </c>
    </row>
    <row r="71" spans="1:22" x14ac:dyDescent="0.2">
      <c r="A71" s="8" t="s">
        <v>77</v>
      </c>
      <c r="B71" s="26" t="s">
        <v>21</v>
      </c>
      <c r="C71" s="26" t="s">
        <v>22</v>
      </c>
      <c r="D71" s="27" t="s">
        <v>23</v>
      </c>
      <c r="E71" s="27" t="s">
        <v>24</v>
      </c>
      <c r="F71" s="27">
        <v>1</v>
      </c>
      <c r="G71" s="27" t="s">
        <v>25</v>
      </c>
      <c r="H71" s="27" t="s">
        <v>26</v>
      </c>
      <c r="I71" s="27" t="s">
        <v>27</v>
      </c>
      <c r="J71" s="27" t="s">
        <v>28</v>
      </c>
      <c r="K71" s="50"/>
    </row>
    <row r="72" spans="1:22" x14ac:dyDescent="0.2">
      <c r="A72" s="8"/>
      <c r="B72" s="26"/>
      <c r="C72" s="26"/>
      <c r="D72" s="27"/>
      <c r="E72" s="27"/>
      <c r="F72" s="27"/>
      <c r="G72" s="27"/>
      <c r="H72" s="27"/>
      <c r="I72" s="27"/>
      <c r="J72" s="27"/>
      <c r="K72" s="50"/>
    </row>
    <row r="73" spans="1:22" ht="15" x14ac:dyDescent="0.25">
      <c r="A73" s="8" t="s">
        <v>78</v>
      </c>
      <c r="B73" s="28">
        <f>ROUND(B70/9*5,2)</f>
        <v>0.56000000000000005</v>
      </c>
      <c r="C73" s="28">
        <f>ROUND(C70/9*6,2)</f>
        <v>38.17</v>
      </c>
      <c r="D73" s="28">
        <f>ROUND(D70/9*7,2)</f>
        <v>35.58</v>
      </c>
      <c r="E73" s="28">
        <f>ROUND(E70/9*8,2)</f>
        <v>206.67</v>
      </c>
      <c r="F73" s="28">
        <f>ROUND(F70*F71,2)</f>
        <v>652.25</v>
      </c>
      <c r="G73" s="28">
        <f>ROUND(G70/9*11,2)</f>
        <v>167.75</v>
      </c>
      <c r="H73" s="28">
        <f>ROUND(H70/9*13,2)</f>
        <v>36.47</v>
      </c>
      <c r="I73" s="28">
        <f>ROUND(I70/9*15,2)</f>
        <v>108.75</v>
      </c>
      <c r="J73" s="28">
        <f>ROUND(J70/9*18,2)</f>
        <v>6</v>
      </c>
      <c r="K73" s="54">
        <f>SUM(B73:J73)</f>
        <v>1252.2</v>
      </c>
    </row>
    <row r="74" spans="1:22" ht="23.25" x14ac:dyDescent="0.25">
      <c r="A74" s="8" t="s">
        <v>89</v>
      </c>
      <c r="B74" s="55"/>
      <c r="C74" s="51"/>
      <c r="D74" s="51"/>
      <c r="E74" s="51"/>
      <c r="F74" s="51"/>
      <c r="G74" s="51"/>
      <c r="H74" s="51"/>
      <c r="I74" s="51"/>
      <c r="J74" s="51"/>
      <c r="K74" s="56">
        <v>0</v>
      </c>
    </row>
    <row r="75" spans="1:22" ht="23.25" x14ac:dyDescent="0.25">
      <c r="A75" s="8" t="s">
        <v>79</v>
      </c>
      <c r="B75" s="55"/>
      <c r="C75" s="51"/>
      <c r="D75" s="51"/>
      <c r="E75" s="51"/>
      <c r="F75" s="51"/>
      <c r="G75" s="51"/>
      <c r="H75" s="51"/>
      <c r="I75" s="51"/>
      <c r="J75" s="51"/>
      <c r="K75" s="54">
        <f>SUM(K73+K74)</f>
        <v>1252.2</v>
      </c>
    </row>
    <row r="76" spans="1:22" ht="16.5" thickBot="1" x14ac:dyDescent="0.3">
      <c r="A76" s="34" t="s">
        <v>90</v>
      </c>
      <c r="B76" s="57"/>
      <c r="C76" s="58"/>
      <c r="D76" s="58"/>
      <c r="E76" s="58"/>
      <c r="F76" s="58"/>
      <c r="G76" s="58"/>
      <c r="H76" s="58"/>
      <c r="I76" s="58"/>
      <c r="J76" s="58"/>
      <c r="K76" s="59">
        <f>K75/100*97.5</f>
        <v>1220.895</v>
      </c>
    </row>
    <row r="77" spans="1:22" ht="15.75" x14ac:dyDescent="0.25">
      <c r="A77" s="1" t="s">
        <v>80</v>
      </c>
      <c r="D77" s="2" t="s">
        <v>32</v>
      </c>
      <c r="K77" s="62"/>
    </row>
    <row r="78" spans="1:22" ht="16.5" thickBot="1" x14ac:dyDescent="0.3">
      <c r="C78" s="1" t="s">
        <v>81</v>
      </c>
      <c r="K78" s="62"/>
    </row>
    <row r="79" spans="1:22" x14ac:dyDescent="0.2">
      <c r="A79" s="4" t="s">
        <v>0</v>
      </c>
      <c r="B79" s="64" t="s">
        <v>1</v>
      </c>
      <c r="C79" s="65" t="s">
        <v>2</v>
      </c>
      <c r="D79" s="65" t="s">
        <v>3</v>
      </c>
      <c r="E79" s="65" t="s">
        <v>4</v>
      </c>
      <c r="F79" s="65" t="s">
        <v>5</v>
      </c>
      <c r="G79" s="65" t="s">
        <v>6</v>
      </c>
      <c r="H79" s="65" t="s">
        <v>7</v>
      </c>
      <c r="I79" s="65" t="s">
        <v>8</v>
      </c>
      <c r="J79" s="65" t="s">
        <v>9</v>
      </c>
      <c r="K79" s="66" t="s">
        <v>10</v>
      </c>
    </row>
    <row r="80" spans="1:22" x14ac:dyDescent="0.2">
      <c r="A80" s="8" t="s">
        <v>34</v>
      </c>
      <c r="B80" s="9"/>
      <c r="C80" s="10">
        <v>15</v>
      </c>
      <c r="D80" s="10">
        <v>281</v>
      </c>
      <c r="E80" s="10">
        <v>274</v>
      </c>
      <c r="F80" s="10">
        <v>990</v>
      </c>
      <c r="G80" s="10">
        <v>103</v>
      </c>
      <c r="H80" s="10">
        <v>90</v>
      </c>
      <c r="I80" s="10">
        <v>21</v>
      </c>
      <c r="J80" s="10">
        <v>0</v>
      </c>
      <c r="K80" s="46">
        <f>SUM(B80:J80)</f>
        <v>1774</v>
      </c>
      <c r="M80" s="2" t="s">
        <v>112</v>
      </c>
    </row>
    <row r="81" spans="1:22" x14ac:dyDescent="0.2">
      <c r="A81" s="8" t="s">
        <v>72</v>
      </c>
      <c r="B81" s="9"/>
      <c r="C81" s="77"/>
      <c r="D81" s="77"/>
      <c r="E81" s="77"/>
      <c r="F81" s="77"/>
      <c r="G81" s="77"/>
      <c r="H81" s="77"/>
      <c r="I81" s="77"/>
      <c r="J81" s="77"/>
      <c r="K81" s="48">
        <f>SUM(C81:J81)</f>
        <v>0</v>
      </c>
      <c r="M81" s="12" t="s">
        <v>44</v>
      </c>
      <c r="N81" s="12" t="s">
        <v>43</v>
      </c>
      <c r="O81" s="43"/>
      <c r="P81" s="12" t="s">
        <v>12</v>
      </c>
      <c r="Q81" s="15" t="s">
        <v>45</v>
      </c>
      <c r="R81" s="15" t="s">
        <v>43</v>
      </c>
      <c r="S81" s="43">
        <v>41958</v>
      </c>
    </row>
    <row r="82" spans="1:22" x14ac:dyDescent="0.2">
      <c r="A82" s="8" t="s">
        <v>83</v>
      </c>
      <c r="B82" s="9"/>
      <c r="C82" s="78"/>
      <c r="D82" s="78"/>
      <c r="E82" s="78"/>
      <c r="F82" s="78"/>
      <c r="G82" s="78"/>
      <c r="H82" s="78"/>
      <c r="I82" s="78"/>
      <c r="J82" s="78"/>
      <c r="K82" s="50">
        <f>SUM(B82:J82)</f>
        <v>0</v>
      </c>
      <c r="N82">
        <v>3</v>
      </c>
      <c r="O82">
        <v>4</v>
      </c>
      <c r="P82">
        <v>7</v>
      </c>
      <c r="Q82">
        <v>16</v>
      </c>
      <c r="R82">
        <v>1</v>
      </c>
      <c r="S82">
        <v>2</v>
      </c>
      <c r="T82">
        <v>0</v>
      </c>
      <c r="U82">
        <v>0</v>
      </c>
      <c r="V82">
        <f>SUM(N82:U82)</f>
        <v>33</v>
      </c>
    </row>
    <row r="83" spans="1:22" x14ac:dyDescent="0.2">
      <c r="A83" s="8" t="s">
        <v>84</v>
      </c>
      <c r="B83" s="9"/>
      <c r="C83" s="10">
        <f>N84</f>
        <v>3</v>
      </c>
      <c r="D83" s="10">
        <f t="shared" ref="D83:J83" si="31">O84</f>
        <v>5</v>
      </c>
      <c r="E83" s="10">
        <f t="shared" si="31"/>
        <v>7</v>
      </c>
      <c r="F83" s="10">
        <f t="shared" si="31"/>
        <v>16</v>
      </c>
      <c r="G83" s="10">
        <f t="shared" si="31"/>
        <v>1</v>
      </c>
      <c r="H83" s="10">
        <f t="shared" si="31"/>
        <v>2</v>
      </c>
      <c r="I83" s="10">
        <f t="shared" si="31"/>
        <v>0</v>
      </c>
      <c r="J83" s="10">
        <f t="shared" si="31"/>
        <v>0</v>
      </c>
      <c r="K83" s="46">
        <f>SUM(C83:J83)</f>
        <v>34</v>
      </c>
      <c r="N83" s="81">
        <v>0</v>
      </c>
      <c r="O83" s="81">
        <v>1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>
        <f>SUM(N83:U83)</f>
        <v>1</v>
      </c>
    </row>
    <row r="84" spans="1:22" x14ac:dyDescent="0.2">
      <c r="A84" s="8" t="s">
        <v>13</v>
      </c>
      <c r="B84" s="9"/>
      <c r="C84" s="80">
        <v>0</v>
      </c>
      <c r="D84" s="80">
        <v>85</v>
      </c>
      <c r="E84" s="80">
        <v>42</v>
      </c>
      <c r="F84" s="80">
        <v>54</v>
      </c>
      <c r="G84" s="80">
        <v>4</v>
      </c>
      <c r="H84" s="80">
        <v>2</v>
      </c>
      <c r="I84" s="80">
        <v>0</v>
      </c>
      <c r="J84" s="80">
        <v>0</v>
      </c>
      <c r="K84" s="46">
        <f>SUM(C84:J84)</f>
        <v>187</v>
      </c>
      <c r="L84" s="12"/>
      <c r="N84">
        <f>N82+N83</f>
        <v>3</v>
      </c>
      <c r="O84">
        <f t="shared" ref="O84:U84" si="32">O82+O83</f>
        <v>5</v>
      </c>
      <c r="P84">
        <f t="shared" si="32"/>
        <v>7</v>
      </c>
      <c r="Q84">
        <f t="shared" si="32"/>
        <v>16</v>
      </c>
      <c r="R84">
        <f t="shared" si="32"/>
        <v>1</v>
      </c>
      <c r="S84">
        <f t="shared" si="32"/>
        <v>2</v>
      </c>
      <c r="T84">
        <f t="shared" si="32"/>
        <v>0</v>
      </c>
      <c r="U84">
        <f t="shared" si="32"/>
        <v>0</v>
      </c>
    </row>
    <row r="85" spans="1:22" ht="22.5" x14ac:dyDescent="0.2">
      <c r="A85" s="8" t="s">
        <v>85</v>
      </c>
      <c r="B85" s="9"/>
      <c r="C85" s="14">
        <f>C80+C81+C82-C83-C84</f>
        <v>12</v>
      </c>
      <c r="D85" s="14">
        <f t="shared" ref="D85:J85" si="33">D80+D81+D82-D83-D84</f>
        <v>191</v>
      </c>
      <c r="E85" s="14">
        <f t="shared" si="33"/>
        <v>225</v>
      </c>
      <c r="F85" s="14">
        <f t="shared" si="33"/>
        <v>920</v>
      </c>
      <c r="G85" s="14">
        <f t="shared" si="33"/>
        <v>98</v>
      </c>
      <c r="H85" s="14">
        <f t="shared" si="33"/>
        <v>86</v>
      </c>
      <c r="I85" s="14">
        <f t="shared" si="33"/>
        <v>21</v>
      </c>
      <c r="J85" s="14">
        <f t="shared" si="33"/>
        <v>0</v>
      </c>
      <c r="K85" s="46">
        <f>K80+K81+K82-K83-K84</f>
        <v>1553</v>
      </c>
    </row>
    <row r="86" spans="1:22" ht="22.5" x14ac:dyDescent="0.2">
      <c r="A86" s="8" t="s">
        <v>86</v>
      </c>
      <c r="B86" s="9"/>
      <c r="C86" s="14">
        <v>0</v>
      </c>
      <c r="D86" s="14">
        <v>0</v>
      </c>
      <c r="E86" s="14">
        <v>2</v>
      </c>
      <c r="F86" s="14">
        <v>4</v>
      </c>
      <c r="G86" s="14">
        <v>0</v>
      </c>
      <c r="H86" s="14">
        <v>0</v>
      </c>
      <c r="I86" s="14">
        <v>0</v>
      </c>
      <c r="J86" s="14">
        <v>0</v>
      </c>
      <c r="K86" s="50">
        <f>SUM(C86:J86)</f>
        <v>6</v>
      </c>
    </row>
    <row r="87" spans="1:22" ht="33.75" x14ac:dyDescent="0.2">
      <c r="A87" s="8" t="s">
        <v>15</v>
      </c>
      <c r="B87" s="16">
        <f t="shared" ref="B87:I87" si="34">C86</f>
        <v>0</v>
      </c>
      <c r="C87" s="16">
        <f t="shared" si="34"/>
        <v>0</v>
      </c>
      <c r="D87" s="16">
        <f t="shared" si="34"/>
        <v>2</v>
      </c>
      <c r="E87" s="16">
        <f t="shared" si="34"/>
        <v>4</v>
      </c>
      <c r="F87" s="16">
        <f t="shared" si="34"/>
        <v>0</v>
      </c>
      <c r="G87" s="16">
        <f t="shared" si="34"/>
        <v>0</v>
      </c>
      <c r="H87" s="16">
        <f t="shared" si="34"/>
        <v>0</v>
      </c>
      <c r="I87" s="16">
        <f t="shared" si="34"/>
        <v>0</v>
      </c>
      <c r="J87" s="9"/>
      <c r="K87" s="50">
        <f>SUM(B87:I87)</f>
        <v>6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2.5" x14ac:dyDescent="0.2">
      <c r="A88" s="8" t="s">
        <v>16</v>
      </c>
      <c r="B88" s="18">
        <f t="shared" ref="B88:K88" si="35">SUM(B85-B86+B87)</f>
        <v>0</v>
      </c>
      <c r="C88" s="18">
        <f t="shared" si="35"/>
        <v>12</v>
      </c>
      <c r="D88" s="18">
        <f t="shared" si="35"/>
        <v>193</v>
      </c>
      <c r="E88" s="18">
        <f t="shared" si="35"/>
        <v>227</v>
      </c>
      <c r="F88" s="18">
        <f t="shared" si="35"/>
        <v>916</v>
      </c>
      <c r="G88" s="18">
        <f t="shared" si="35"/>
        <v>98</v>
      </c>
      <c r="H88" s="18">
        <f t="shared" si="35"/>
        <v>86</v>
      </c>
      <c r="I88" s="18">
        <f t="shared" si="35"/>
        <v>21</v>
      </c>
      <c r="J88" s="18">
        <f t="shared" si="35"/>
        <v>0</v>
      </c>
      <c r="K88" s="52">
        <f t="shared" si="35"/>
        <v>1553</v>
      </c>
    </row>
    <row r="89" spans="1:22" ht="22.5" x14ac:dyDescent="0.2">
      <c r="A89" s="8" t="s">
        <v>91</v>
      </c>
      <c r="B89" s="14">
        <v>0</v>
      </c>
      <c r="C89" s="20">
        <v>0</v>
      </c>
      <c r="D89" s="20">
        <v>0</v>
      </c>
      <c r="E89" s="20">
        <v>1</v>
      </c>
      <c r="F89" s="20">
        <v>2</v>
      </c>
      <c r="G89" s="20">
        <v>0</v>
      </c>
      <c r="H89" s="20">
        <v>0</v>
      </c>
      <c r="I89" s="20">
        <v>0</v>
      </c>
      <c r="J89" s="20">
        <f>0+0</f>
        <v>0</v>
      </c>
      <c r="K89" s="52">
        <f>SUM(B89:J89)</f>
        <v>3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22.5" x14ac:dyDescent="0.2">
      <c r="A90" s="8" t="s">
        <v>87</v>
      </c>
      <c r="B90" s="14">
        <v>0</v>
      </c>
      <c r="C90" s="14">
        <f>11+0</f>
        <v>11</v>
      </c>
      <c r="D90" s="14">
        <f>161+2</f>
        <v>163</v>
      </c>
      <c r="E90" s="14">
        <f>93+7</f>
        <v>100</v>
      </c>
      <c r="F90" s="14">
        <f>200+11</f>
        <v>211</v>
      </c>
      <c r="G90" s="14">
        <f>19+2</f>
        <v>21</v>
      </c>
      <c r="H90" s="14">
        <f>14+2</f>
        <v>16</v>
      </c>
      <c r="I90" s="14">
        <f>3+0</f>
        <v>3</v>
      </c>
      <c r="J90" s="14">
        <f>0+0</f>
        <v>0</v>
      </c>
      <c r="K90" s="52">
        <f>SUM(B90:J90)</f>
        <v>525</v>
      </c>
      <c r="M90" s="12" t="s">
        <v>93</v>
      </c>
      <c r="N90">
        <v>0</v>
      </c>
      <c r="O90">
        <v>0</v>
      </c>
      <c r="P90">
        <v>1</v>
      </c>
      <c r="Q90">
        <v>0</v>
      </c>
      <c r="R90">
        <v>1</v>
      </c>
      <c r="S90">
        <v>0</v>
      </c>
      <c r="T90">
        <v>0</v>
      </c>
      <c r="U90">
        <v>0</v>
      </c>
      <c r="V90">
        <f>SUM(N90:U90)</f>
        <v>2</v>
      </c>
    </row>
    <row r="91" spans="1:22" ht="22.5" x14ac:dyDescent="0.2">
      <c r="A91" s="8" t="s">
        <v>88</v>
      </c>
      <c r="B91" s="21">
        <v>0</v>
      </c>
      <c r="C91" s="21">
        <f>N92</f>
        <v>0</v>
      </c>
      <c r="D91" s="21">
        <f t="shared" ref="D91:J91" si="36">O92</f>
        <v>0</v>
      </c>
      <c r="E91" s="21">
        <f t="shared" si="36"/>
        <v>1</v>
      </c>
      <c r="F91" s="21">
        <f t="shared" si="36"/>
        <v>0</v>
      </c>
      <c r="G91" s="21">
        <f t="shared" si="36"/>
        <v>1</v>
      </c>
      <c r="H91" s="21">
        <f t="shared" si="36"/>
        <v>0</v>
      </c>
      <c r="I91" s="21">
        <f t="shared" si="36"/>
        <v>0</v>
      </c>
      <c r="J91" s="21">
        <f t="shared" si="36"/>
        <v>0</v>
      </c>
      <c r="K91" s="53">
        <f>SUM(B91:J91)</f>
        <v>2</v>
      </c>
      <c r="M91" s="12" t="s">
        <v>92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>
        <f>SUM(N91:U91)</f>
        <v>0</v>
      </c>
    </row>
    <row r="92" spans="1:22" x14ac:dyDescent="0.2">
      <c r="A92" s="8" t="s">
        <v>73</v>
      </c>
      <c r="B92" s="21">
        <v>0</v>
      </c>
      <c r="C92" s="21">
        <f t="shared" ref="C92:J92" si="37">C82</f>
        <v>0</v>
      </c>
      <c r="D92" s="21">
        <f t="shared" si="37"/>
        <v>0</v>
      </c>
      <c r="E92" s="21">
        <f t="shared" si="37"/>
        <v>0</v>
      </c>
      <c r="F92" s="21">
        <f t="shared" si="37"/>
        <v>0</v>
      </c>
      <c r="G92" s="21">
        <f t="shared" si="37"/>
        <v>0</v>
      </c>
      <c r="H92" s="21">
        <f t="shared" si="37"/>
        <v>0</v>
      </c>
      <c r="I92" s="21">
        <f t="shared" si="37"/>
        <v>0</v>
      </c>
      <c r="J92" s="21">
        <f t="shared" si="37"/>
        <v>0</v>
      </c>
      <c r="K92" s="53">
        <f>SUM(B92:J92)</f>
        <v>0</v>
      </c>
      <c r="N92">
        <f>N90+N91</f>
        <v>0</v>
      </c>
      <c r="O92">
        <f t="shared" ref="O92:U92" si="38">O90+O91</f>
        <v>0</v>
      </c>
      <c r="P92">
        <f t="shared" si="38"/>
        <v>1</v>
      </c>
      <c r="Q92">
        <f t="shared" si="38"/>
        <v>0</v>
      </c>
      <c r="R92">
        <f t="shared" si="38"/>
        <v>1</v>
      </c>
      <c r="S92">
        <f t="shared" si="38"/>
        <v>0</v>
      </c>
      <c r="T92">
        <f t="shared" si="38"/>
        <v>0</v>
      </c>
      <c r="U92">
        <f t="shared" si="38"/>
        <v>0</v>
      </c>
    </row>
    <row r="93" spans="1:22" x14ac:dyDescent="0.2">
      <c r="A93" s="8" t="s">
        <v>74</v>
      </c>
      <c r="B93" s="14">
        <v>0</v>
      </c>
      <c r="C93" s="21">
        <v>0</v>
      </c>
      <c r="D93" s="21">
        <v>4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52">
        <f>SUM(B93:J93)</f>
        <v>5</v>
      </c>
    </row>
    <row r="94" spans="1:22" ht="22.5" x14ac:dyDescent="0.2">
      <c r="A94" s="8" t="s">
        <v>75</v>
      </c>
      <c r="B94" s="14">
        <f>SUM(B88-B89-B90-B91-B92-B93)</f>
        <v>0</v>
      </c>
      <c r="C94" s="14">
        <f t="shared" ref="C94:K94" si="39">SUM(C88-C89-C90-C91-C92-C93)</f>
        <v>1</v>
      </c>
      <c r="D94" s="14">
        <f t="shared" si="39"/>
        <v>26</v>
      </c>
      <c r="E94" s="14">
        <f t="shared" si="39"/>
        <v>124</v>
      </c>
      <c r="F94" s="14">
        <f t="shared" si="39"/>
        <v>703</v>
      </c>
      <c r="G94" s="14">
        <f t="shared" si="39"/>
        <v>76</v>
      </c>
      <c r="H94" s="14">
        <f t="shared" si="39"/>
        <v>70</v>
      </c>
      <c r="I94" s="14">
        <f t="shared" si="39"/>
        <v>18</v>
      </c>
      <c r="J94" s="14">
        <f t="shared" si="39"/>
        <v>0</v>
      </c>
      <c r="K94" s="52">
        <f t="shared" si="39"/>
        <v>1018</v>
      </c>
    </row>
    <row r="95" spans="1:22" ht="33.75" x14ac:dyDescent="0.2">
      <c r="A95" s="8" t="s">
        <v>76</v>
      </c>
      <c r="B95" s="24">
        <f>SUM((B89*0.75)+(B90*0.75)+(B91*0.5)+(B92*0.5)+ (B93*1.5)+B94)</f>
        <v>0</v>
      </c>
      <c r="C95" s="24">
        <f t="shared" ref="C95:J95" si="40">SUM((C89*0.75)+(C90*0.75)+(C91*0.5)+(C92*0.5)+ (C93*1.5)+C94)</f>
        <v>9.25</v>
      </c>
      <c r="D95" s="24">
        <f t="shared" si="40"/>
        <v>154.25</v>
      </c>
      <c r="E95" s="24">
        <f t="shared" si="40"/>
        <v>201.75</v>
      </c>
      <c r="F95" s="24">
        <f t="shared" si="40"/>
        <v>862.75</v>
      </c>
      <c r="G95" s="24">
        <f t="shared" si="40"/>
        <v>92.25</v>
      </c>
      <c r="H95" s="24">
        <f t="shared" si="40"/>
        <v>82</v>
      </c>
      <c r="I95" s="24">
        <f t="shared" si="40"/>
        <v>20.25</v>
      </c>
      <c r="J95" s="24">
        <f t="shared" si="40"/>
        <v>0</v>
      </c>
      <c r="K95" s="54">
        <f>SUM(B95:J95)</f>
        <v>1422.5</v>
      </c>
    </row>
    <row r="96" spans="1:22" x14ac:dyDescent="0.2">
      <c r="A96" s="8" t="s">
        <v>77</v>
      </c>
      <c r="B96" s="26" t="s">
        <v>21</v>
      </c>
      <c r="C96" s="26" t="s">
        <v>22</v>
      </c>
      <c r="D96" s="27" t="s">
        <v>23</v>
      </c>
      <c r="E96" s="27" t="s">
        <v>24</v>
      </c>
      <c r="F96" s="27">
        <v>1</v>
      </c>
      <c r="G96" s="27" t="s">
        <v>25</v>
      </c>
      <c r="H96" s="27" t="s">
        <v>26</v>
      </c>
      <c r="I96" s="27" t="s">
        <v>27</v>
      </c>
      <c r="J96" s="27" t="s">
        <v>28</v>
      </c>
      <c r="K96" s="50"/>
    </row>
    <row r="97" spans="1:22" x14ac:dyDescent="0.2">
      <c r="A97" s="8"/>
      <c r="B97" s="26"/>
      <c r="C97" s="26"/>
      <c r="D97" s="27"/>
      <c r="E97" s="27"/>
      <c r="F97" s="27"/>
      <c r="G97" s="27"/>
      <c r="H97" s="27"/>
      <c r="I97" s="27"/>
      <c r="J97" s="27"/>
      <c r="K97" s="50"/>
    </row>
    <row r="98" spans="1:22" ht="15" x14ac:dyDescent="0.25">
      <c r="A98" s="8" t="s">
        <v>78</v>
      </c>
      <c r="B98" s="28">
        <f>ROUND(B95/9*5,2)</f>
        <v>0</v>
      </c>
      <c r="C98" s="28">
        <f>ROUND(C95/9*6,2)</f>
        <v>6.17</v>
      </c>
      <c r="D98" s="28">
        <f>ROUND(D95/9*7,2)</f>
        <v>119.97</v>
      </c>
      <c r="E98" s="28">
        <f>ROUND(E95/9*8,2)</f>
        <v>179.33</v>
      </c>
      <c r="F98" s="28">
        <f>ROUND(F95*F96,2)</f>
        <v>862.75</v>
      </c>
      <c r="G98" s="28">
        <f>ROUND(G95/9*11,2)</f>
        <v>112.75</v>
      </c>
      <c r="H98" s="28">
        <f>ROUND(H95/9*13,2)</f>
        <v>118.44</v>
      </c>
      <c r="I98" s="28">
        <f>ROUND(I95/9*15,2)</f>
        <v>33.75</v>
      </c>
      <c r="J98" s="28">
        <f>ROUND(J95/9*18,2)</f>
        <v>0</v>
      </c>
      <c r="K98" s="54">
        <f>SUM(B98:J98)</f>
        <v>1433.16</v>
      </c>
    </row>
    <row r="99" spans="1:22" ht="23.25" x14ac:dyDescent="0.25">
      <c r="A99" s="8" t="s">
        <v>89</v>
      </c>
      <c r="B99" s="55"/>
      <c r="C99" s="51"/>
      <c r="D99" s="51"/>
      <c r="E99" s="51"/>
      <c r="F99" s="51"/>
      <c r="G99" s="51"/>
      <c r="H99" s="51"/>
      <c r="I99" s="51"/>
      <c r="J99" s="51"/>
      <c r="K99" s="56">
        <v>0</v>
      </c>
    </row>
    <row r="100" spans="1:22" ht="23.25" x14ac:dyDescent="0.25">
      <c r="A100" s="8" t="s">
        <v>79</v>
      </c>
      <c r="B100" s="55"/>
      <c r="C100" s="51"/>
      <c r="D100" s="51"/>
      <c r="E100" s="51"/>
      <c r="F100" s="51"/>
      <c r="G100" s="51"/>
      <c r="H100" s="51"/>
      <c r="I100" s="51"/>
      <c r="J100" s="51"/>
      <c r="K100" s="54">
        <f>SUM(K98+K99)</f>
        <v>1433.16</v>
      </c>
    </row>
    <row r="101" spans="1:22" ht="16.5" thickBot="1" x14ac:dyDescent="0.3">
      <c r="A101" s="34" t="s">
        <v>90</v>
      </c>
      <c r="B101" s="57"/>
      <c r="C101" s="58"/>
      <c r="D101" s="58"/>
      <c r="E101" s="58"/>
      <c r="F101" s="58"/>
      <c r="G101" s="58"/>
      <c r="H101" s="58"/>
      <c r="I101" s="58"/>
      <c r="J101" s="58"/>
      <c r="K101" s="59">
        <v>1397.4</v>
      </c>
    </row>
    <row r="102" spans="1:22" ht="15.75" x14ac:dyDescent="0.25">
      <c r="A102" s="1" t="s">
        <v>80</v>
      </c>
      <c r="D102" s="2" t="s">
        <v>32</v>
      </c>
      <c r="K102" s="62"/>
    </row>
    <row r="103" spans="1:22" ht="16.5" thickBot="1" x14ac:dyDescent="0.3">
      <c r="D103" s="1" t="s">
        <v>58</v>
      </c>
      <c r="K103" s="62"/>
    </row>
    <row r="104" spans="1:22" x14ac:dyDescent="0.2">
      <c r="A104" s="4" t="s">
        <v>0</v>
      </c>
      <c r="B104" s="5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6" t="s">
        <v>6</v>
      </c>
      <c r="H104" s="6" t="s">
        <v>7</v>
      </c>
      <c r="I104" s="6" t="s">
        <v>8</v>
      </c>
      <c r="J104" s="6" t="s">
        <v>9</v>
      </c>
      <c r="K104" s="63" t="s">
        <v>10</v>
      </c>
    </row>
    <row r="105" spans="1:22" x14ac:dyDescent="0.2">
      <c r="A105" s="8" t="s">
        <v>34</v>
      </c>
      <c r="B105" s="67"/>
      <c r="C105" s="10">
        <v>279</v>
      </c>
      <c r="D105" s="10">
        <v>1278</v>
      </c>
      <c r="E105" s="10">
        <v>2952</v>
      </c>
      <c r="F105" s="10">
        <v>448</v>
      </c>
      <c r="G105" s="10">
        <v>46</v>
      </c>
      <c r="H105" s="10">
        <v>1</v>
      </c>
      <c r="I105" s="10">
        <v>0</v>
      </c>
      <c r="J105" s="10">
        <v>2</v>
      </c>
      <c r="K105" s="46">
        <f>SUM(B105:J105)</f>
        <v>5006</v>
      </c>
      <c r="M105" s="2" t="s">
        <v>112</v>
      </c>
    </row>
    <row r="106" spans="1:22" x14ac:dyDescent="0.2">
      <c r="A106" s="8" t="s">
        <v>72</v>
      </c>
      <c r="B106" s="67"/>
      <c r="C106" s="68"/>
      <c r="D106" s="68"/>
      <c r="E106" s="68"/>
      <c r="F106" s="68"/>
      <c r="G106" s="68"/>
      <c r="H106" s="68"/>
      <c r="I106" s="68"/>
      <c r="J106" s="68"/>
      <c r="K106" s="46">
        <f>SUM(C106:J106)</f>
        <v>0</v>
      </c>
      <c r="M106" s="12" t="s">
        <v>44</v>
      </c>
      <c r="N106" s="12" t="s">
        <v>43</v>
      </c>
      <c r="O106" s="43"/>
      <c r="P106" s="12" t="s">
        <v>12</v>
      </c>
      <c r="Q106" s="15" t="s">
        <v>45</v>
      </c>
      <c r="R106" s="15" t="s">
        <v>43</v>
      </c>
      <c r="S106" s="43">
        <v>41958</v>
      </c>
    </row>
    <row r="107" spans="1:22" x14ac:dyDescent="0.2">
      <c r="A107" s="8" t="s">
        <v>83</v>
      </c>
      <c r="B107" s="67"/>
      <c r="C107" s="69"/>
      <c r="D107" s="69"/>
      <c r="E107" s="69"/>
      <c r="F107" s="69"/>
      <c r="G107" s="69"/>
      <c r="H107" s="69"/>
      <c r="I107" s="69"/>
      <c r="J107" s="69"/>
      <c r="K107" s="46">
        <f>SUM(B107:J107)</f>
        <v>0</v>
      </c>
      <c r="N107">
        <v>3</v>
      </c>
      <c r="O107">
        <v>22</v>
      </c>
      <c r="P107">
        <v>21</v>
      </c>
      <c r="Q107">
        <v>4</v>
      </c>
      <c r="R107">
        <v>0</v>
      </c>
      <c r="S107">
        <v>0</v>
      </c>
      <c r="T107">
        <v>0</v>
      </c>
      <c r="U107">
        <v>0</v>
      </c>
      <c r="V107">
        <f>SUM(N107:U107)</f>
        <v>50</v>
      </c>
    </row>
    <row r="108" spans="1:22" x14ac:dyDescent="0.2">
      <c r="A108" s="8" t="s">
        <v>84</v>
      </c>
      <c r="B108" s="67"/>
      <c r="C108" s="10">
        <f>N109</f>
        <v>3</v>
      </c>
      <c r="D108" s="10">
        <f t="shared" ref="D108:J108" si="41">O109</f>
        <v>23</v>
      </c>
      <c r="E108" s="10">
        <f t="shared" si="41"/>
        <v>23</v>
      </c>
      <c r="F108" s="10">
        <f t="shared" si="41"/>
        <v>4</v>
      </c>
      <c r="G108" s="10">
        <f t="shared" si="41"/>
        <v>0</v>
      </c>
      <c r="H108" s="10">
        <f t="shared" si="41"/>
        <v>0</v>
      </c>
      <c r="I108" s="10">
        <f t="shared" si="41"/>
        <v>0</v>
      </c>
      <c r="J108" s="10">
        <f t="shared" si="41"/>
        <v>0</v>
      </c>
      <c r="K108" s="46">
        <f>SUM(C108:J108)</f>
        <v>53</v>
      </c>
      <c r="N108" s="81">
        <v>0</v>
      </c>
      <c r="O108" s="81">
        <v>1</v>
      </c>
      <c r="P108" s="81">
        <v>2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>
        <f>SUM(N108:U108)</f>
        <v>3</v>
      </c>
    </row>
    <row r="109" spans="1:22" x14ac:dyDescent="0.2">
      <c r="A109" s="8" t="s">
        <v>13</v>
      </c>
      <c r="B109" s="67"/>
      <c r="C109" s="80">
        <v>134</v>
      </c>
      <c r="D109" s="80">
        <v>456</v>
      </c>
      <c r="E109" s="80">
        <v>583</v>
      </c>
      <c r="F109" s="80">
        <v>98</v>
      </c>
      <c r="G109" s="80">
        <v>15</v>
      </c>
      <c r="H109" s="80">
        <v>1</v>
      </c>
      <c r="I109" s="80">
        <v>0</v>
      </c>
      <c r="J109" s="80">
        <v>0</v>
      </c>
      <c r="K109" s="46">
        <f>SUM(C109:J109)</f>
        <v>1287</v>
      </c>
      <c r="L109" s="12"/>
      <c r="N109">
        <f>N107+N108</f>
        <v>3</v>
      </c>
      <c r="O109">
        <f t="shared" ref="O109:U109" si="42">O107+O108</f>
        <v>23</v>
      </c>
      <c r="P109">
        <f t="shared" si="42"/>
        <v>23</v>
      </c>
      <c r="Q109">
        <f t="shared" si="42"/>
        <v>4</v>
      </c>
      <c r="R109">
        <f t="shared" si="42"/>
        <v>0</v>
      </c>
      <c r="S109">
        <f t="shared" si="42"/>
        <v>0</v>
      </c>
      <c r="T109">
        <f t="shared" si="42"/>
        <v>0</v>
      </c>
      <c r="U109">
        <f t="shared" si="42"/>
        <v>0</v>
      </c>
    </row>
    <row r="110" spans="1:22" ht="22.5" x14ac:dyDescent="0.2">
      <c r="A110" s="8" t="s">
        <v>85</v>
      </c>
      <c r="B110" s="67"/>
      <c r="C110" s="79">
        <f>C105+C106+C107-C108-C109</f>
        <v>142</v>
      </c>
      <c r="D110" s="79">
        <f t="shared" ref="D110:J110" si="43">D105+D106+D107-D108-D109</f>
        <v>799</v>
      </c>
      <c r="E110" s="14">
        <f t="shared" si="43"/>
        <v>2346</v>
      </c>
      <c r="F110" s="79">
        <f t="shared" si="43"/>
        <v>346</v>
      </c>
      <c r="G110" s="79">
        <f t="shared" si="43"/>
        <v>31</v>
      </c>
      <c r="H110" s="79">
        <f t="shared" si="43"/>
        <v>0</v>
      </c>
      <c r="I110" s="79">
        <f t="shared" si="43"/>
        <v>0</v>
      </c>
      <c r="J110" s="79">
        <f t="shared" si="43"/>
        <v>2</v>
      </c>
      <c r="K110" s="46">
        <f>K105+K106+K107-K108-K109</f>
        <v>3666</v>
      </c>
    </row>
    <row r="111" spans="1:22" ht="22.5" x14ac:dyDescent="0.2">
      <c r="A111" s="8" t="s">
        <v>86</v>
      </c>
      <c r="B111" s="67"/>
      <c r="C111" s="14">
        <v>0</v>
      </c>
      <c r="D111" s="14">
        <v>3</v>
      </c>
      <c r="E111" s="14">
        <v>15</v>
      </c>
      <c r="F111" s="14">
        <v>5</v>
      </c>
      <c r="G111" s="14">
        <v>4</v>
      </c>
      <c r="H111" s="14">
        <v>0</v>
      </c>
      <c r="I111" s="14">
        <v>0</v>
      </c>
      <c r="J111" s="14">
        <v>1</v>
      </c>
      <c r="K111" s="46">
        <f>SUM(C111:J111)</f>
        <v>28</v>
      </c>
    </row>
    <row r="112" spans="1:22" ht="33.75" x14ac:dyDescent="0.2">
      <c r="A112" s="8" t="s">
        <v>15</v>
      </c>
      <c r="B112" s="14">
        <f t="shared" ref="B112:I112" si="44">C111</f>
        <v>0</v>
      </c>
      <c r="C112" s="14">
        <f t="shared" si="44"/>
        <v>3</v>
      </c>
      <c r="D112" s="14">
        <f t="shared" si="44"/>
        <v>15</v>
      </c>
      <c r="E112" s="14">
        <f t="shared" si="44"/>
        <v>5</v>
      </c>
      <c r="F112" s="14">
        <f t="shared" si="44"/>
        <v>4</v>
      </c>
      <c r="G112" s="14">
        <f t="shared" si="44"/>
        <v>0</v>
      </c>
      <c r="H112" s="14">
        <f t="shared" si="44"/>
        <v>0</v>
      </c>
      <c r="I112" s="14">
        <f t="shared" si="44"/>
        <v>1</v>
      </c>
      <c r="J112" s="67"/>
      <c r="K112" s="46">
        <f>SUM(B112:I112)</f>
        <v>28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22.5" x14ac:dyDescent="0.2">
      <c r="A113" s="8" t="s">
        <v>16</v>
      </c>
      <c r="B113" s="14">
        <f t="shared" ref="B113:K113" si="45">SUM(B110-B111+B112)</f>
        <v>0</v>
      </c>
      <c r="C113" s="14">
        <f t="shared" si="45"/>
        <v>145</v>
      </c>
      <c r="D113" s="14">
        <f t="shared" si="45"/>
        <v>811</v>
      </c>
      <c r="E113" s="14">
        <f t="shared" si="45"/>
        <v>2336</v>
      </c>
      <c r="F113" s="14">
        <f t="shared" si="45"/>
        <v>345</v>
      </c>
      <c r="G113" s="14">
        <f t="shared" si="45"/>
        <v>27</v>
      </c>
      <c r="H113" s="14">
        <f t="shared" si="45"/>
        <v>0</v>
      </c>
      <c r="I113" s="14">
        <f t="shared" si="45"/>
        <v>1</v>
      </c>
      <c r="J113" s="14">
        <f t="shared" si="45"/>
        <v>1</v>
      </c>
      <c r="K113" s="46">
        <f t="shared" si="45"/>
        <v>3666</v>
      </c>
    </row>
    <row r="114" spans="1:22" ht="22.5" x14ac:dyDescent="0.2">
      <c r="A114" s="8" t="s">
        <v>91</v>
      </c>
      <c r="B114" s="14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46">
        <f>SUM(B114:J114)</f>
        <v>0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22.5" x14ac:dyDescent="0.2">
      <c r="A115" s="8" t="s">
        <v>87</v>
      </c>
      <c r="B115" s="14">
        <v>0</v>
      </c>
      <c r="C115" s="14">
        <f>222+0</f>
        <v>222</v>
      </c>
      <c r="D115" s="14">
        <f>761+5</f>
        <v>766</v>
      </c>
      <c r="E115" s="14">
        <f>844+39</f>
        <v>883</v>
      </c>
      <c r="F115" s="14">
        <f>131+5</f>
        <v>136</v>
      </c>
      <c r="G115" s="14">
        <f>10+0</f>
        <v>10</v>
      </c>
      <c r="H115" s="14">
        <f>1+0</f>
        <v>1</v>
      </c>
      <c r="I115" s="14">
        <f>0+0</f>
        <v>0</v>
      </c>
      <c r="J115" s="14">
        <f>0+0</f>
        <v>0</v>
      </c>
      <c r="K115" s="46">
        <f>SUM(B115:J115)</f>
        <v>2018</v>
      </c>
      <c r="M115" s="12" t="s">
        <v>93</v>
      </c>
      <c r="N115">
        <v>0</v>
      </c>
      <c r="O115">
        <v>2</v>
      </c>
      <c r="P115">
        <v>1</v>
      </c>
      <c r="Q115">
        <v>0</v>
      </c>
      <c r="R115">
        <v>1</v>
      </c>
      <c r="S115">
        <v>0</v>
      </c>
      <c r="T115">
        <v>1</v>
      </c>
      <c r="U115">
        <v>0</v>
      </c>
      <c r="V115">
        <f>SUM(N115:U115)</f>
        <v>5</v>
      </c>
    </row>
    <row r="116" spans="1:22" ht="22.5" x14ac:dyDescent="0.2">
      <c r="A116" s="8" t="s">
        <v>88</v>
      </c>
      <c r="B116" s="14">
        <v>0</v>
      </c>
      <c r="C116" s="14">
        <f>N117</f>
        <v>0</v>
      </c>
      <c r="D116" s="14">
        <f t="shared" ref="D116:J116" si="46">O117</f>
        <v>2</v>
      </c>
      <c r="E116" s="14">
        <f t="shared" si="46"/>
        <v>1</v>
      </c>
      <c r="F116" s="14">
        <f t="shared" si="46"/>
        <v>0</v>
      </c>
      <c r="G116" s="14">
        <f t="shared" si="46"/>
        <v>1</v>
      </c>
      <c r="H116" s="14">
        <f t="shared" si="46"/>
        <v>0</v>
      </c>
      <c r="I116" s="14">
        <f t="shared" si="46"/>
        <v>1</v>
      </c>
      <c r="J116" s="14">
        <f t="shared" si="46"/>
        <v>0</v>
      </c>
      <c r="K116" s="46">
        <f>SUM(B116:J116)</f>
        <v>5</v>
      </c>
      <c r="M116" s="12" t="s">
        <v>92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>
        <f>SUM(N116:U116)</f>
        <v>0</v>
      </c>
    </row>
    <row r="117" spans="1:22" x14ac:dyDescent="0.2">
      <c r="A117" s="8" t="s">
        <v>73</v>
      </c>
      <c r="B117" s="14">
        <v>0</v>
      </c>
      <c r="C117" s="14">
        <f t="shared" ref="C117:J117" si="47">C107</f>
        <v>0</v>
      </c>
      <c r="D117" s="14">
        <f t="shared" si="47"/>
        <v>0</v>
      </c>
      <c r="E117" s="14">
        <f t="shared" si="47"/>
        <v>0</v>
      </c>
      <c r="F117" s="14">
        <f t="shared" si="47"/>
        <v>0</v>
      </c>
      <c r="G117" s="14">
        <f t="shared" si="47"/>
        <v>0</v>
      </c>
      <c r="H117" s="14">
        <f t="shared" si="47"/>
        <v>0</v>
      </c>
      <c r="I117" s="14">
        <f t="shared" si="47"/>
        <v>0</v>
      </c>
      <c r="J117" s="14">
        <f t="shared" si="47"/>
        <v>0</v>
      </c>
      <c r="K117" s="46">
        <f>SUM(B117:J117)</f>
        <v>0</v>
      </c>
      <c r="N117">
        <f>N115+N116</f>
        <v>0</v>
      </c>
      <c r="O117">
        <f t="shared" ref="O117:U117" si="48">O115+O116</f>
        <v>2</v>
      </c>
      <c r="P117">
        <f t="shared" si="48"/>
        <v>1</v>
      </c>
      <c r="Q117">
        <f t="shared" si="48"/>
        <v>0</v>
      </c>
      <c r="R117">
        <f t="shared" si="48"/>
        <v>1</v>
      </c>
      <c r="S117">
        <f t="shared" si="48"/>
        <v>0</v>
      </c>
      <c r="T117">
        <f t="shared" si="48"/>
        <v>1</v>
      </c>
      <c r="U117">
        <f t="shared" si="48"/>
        <v>0</v>
      </c>
    </row>
    <row r="118" spans="1:22" x14ac:dyDescent="0.2">
      <c r="A118" s="8" t="s">
        <v>74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46">
        <f>SUM(B118:J118)</f>
        <v>0</v>
      </c>
    </row>
    <row r="119" spans="1:22" ht="22.5" x14ac:dyDescent="0.2">
      <c r="A119" s="8" t="s">
        <v>75</v>
      </c>
      <c r="B119" s="14">
        <f>SUM(B113-B114-B115-B116-B117-B118)</f>
        <v>0</v>
      </c>
      <c r="C119" s="14">
        <f t="shared" ref="C119:K119" si="49">SUM(C113-C114-C115-C116-C117-C118)</f>
        <v>-77</v>
      </c>
      <c r="D119" s="14">
        <f t="shared" si="49"/>
        <v>43</v>
      </c>
      <c r="E119" s="14">
        <f t="shared" si="49"/>
        <v>1452</v>
      </c>
      <c r="F119" s="14">
        <f t="shared" si="49"/>
        <v>209</v>
      </c>
      <c r="G119" s="14">
        <f t="shared" si="49"/>
        <v>16</v>
      </c>
      <c r="H119" s="14">
        <f t="shared" si="49"/>
        <v>-1</v>
      </c>
      <c r="I119" s="14">
        <f t="shared" si="49"/>
        <v>0</v>
      </c>
      <c r="J119" s="14">
        <f t="shared" si="49"/>
        <v>1</v>
      </c>
      <c r="K119" s="46">
        <f t="shared" si="49"/>
        <v>1643</v>
      </c>
    </row>
    <row r="120" spans="1:22" ht="33.75" x14ac:dyDescent="0.2">
      <c r="A120" s="8" t="s">
        <v>76</v>
      </c>
      <c r="B120" s="14">
        <f>SUM((B114*0.75)+(B115*0.75)+(B116*0.5)+(B117*0.5)+ (B118*1.5)+B119)</f>
        <v>0</v>
      </c>
      <c r="C120" s="70">
        <f t="shared" ref="C120:J120" si="50">SUM((C114*0.75)+(C115*0.75)+(C116*0.5)+(C117*0.5)+ (C118*1.5)+C119)</f>
        <v>89.5</v>
      </c>
      <c r="D120" s="70">
        <f t="shared" si="50"/>
        <v>618.5</v>
      </c>
      <c r="E120" s="70">
        <f t="shared" si="50"/>
        <v>2114.75</v>
      </c>
      <c r="F120" s="70">
        <f t="shared" si="50"/>
        <v>311</v>
      </c>
      <c r="G120" s="70">
        <f t="shared" si="50"/>
        <v>24</v>
      </c>
      <c r="H120" s="70">
        <f t="shared" si="50"/>
        <v>-0.25</v>
      </c>
      <c r="I120" s="70">
        <f t="shared" si="50"/>
        <v>0.5</v>
      </c>
      <c r="J120" s="70">
        <f t="shared" si="50"/>
        <v>1</v>
      </c>
      <c r="K120" s="54">
        <f>SUM(B120:J120)</f>
        <v>3159</v>
      </c>
    </row>
    <row r="121" spans="1:22" x14ac:dyDescent="0.2">
      <c r="A121" s="8" t="s">
        <v>77</v>
      </c>
      <c r="B121" s="71" t="s">
        <v>21</v>
      </c>
      <c r="C121" s="71" t="s">
        <v>22</v>
      </c>
      <c r="D121" s="71" t="s">
        <v>23</v>
      </c>
      <c r="E121" s="71" t="s">
        <v>24</v>
      </c>
      <c r="F121" s="71">
        <v>1</v>
      </c>
      <c r="G121" s="71" t="s">
        <v>25</v>
      </c>
      <c r="H121" s="71" t="s">
        <v>26</v>
      </c>
      <c r="I121" s="71" t="s">
        <v>27</v>
      </c>
      <c r="J121" s="71" t="s">
        <v>28</v>
      </c>
      <c r="K121" s="46"/>
    </row>
    <row r="122" spans="1:22" x14ac:dyDescent="0.2">
      <c r="A122" s="8"/>
      <c r="B122" s="71"/>
      <c r="C122" s="71"/>
      <c r="D122" s="71"/>
      <c r="E122" s="71"/>
      <c r="F122" s="71"/>
      <c r="G122" s="71"/>
      <c r="H122" s="71"/>
      <c r="I122" s="71"/>
      <c r="J122" s="71"/>
      <c r="K122" s="46"/>
    </row>
    <row r="123" spans="1:22" ht="15" x14ac:dyDescent="0.25">
      <c r="A123" s="8" t="s">
        <v>78</v>
      </c>
      <c r="B123" s="72">
        <f>ROUND(B120/9*5,2)</f>
        <v>0</v>
      </c>
      <c r="C123" s="72">
        <f>ROUND(C120/9*6,2)</f>
        <v>59.67</v>
      </c>
      <c r="D123" s="72">
        <f>ROUND(D120/9*7,2)</f>
        <v>481.06</v>
      </c>
      <c r="E123" s="72">
        <f>ROUND(E120/9*8,2)</f>
        <v>1879.78</v>
      </c>
      <c r="F123" s="72">
        <f>ROUND(F120*F121,2)</f>
        <v>311</v>
      </c>
      <c r="G123" s="72">
        <f>ROUND(G120/9*11,2)</f>
        <v>29.33</v>
      </c>
      <c r="H123" s="72">
        <f>ROUND(H120/9*13,2)</f>
        <v>-0.36</v>
      </c>
      <c r="I123" s="72">
        <f>ROUND(I120/9*15,2)</f>
        <v>0.83</v>
      </c>
      <c r="J123" s="72">
        <f>ROUND(J120/9*18,2)</f>
        <v>2</v>
      </c>
      <c r="K123" s="54">
        <f>SUM(B123:J123)</f>
        <v>2763.31</v>
      </c>
    </row>
    <row r="124" spans="1:22" ht="23.25" x14ac:dyDescent="0.25">
      <c r="A124" s="8" t="s">
        <v>89</v>
      </c>
      <c r="B124" s="73"/>
      <c r="C124" s="74"/>
      <c r="D124" s="70"/>
      <c r="E124" s="70"/>
      <c r="F124" s="70"/>
      <c r="G124" s="70"/>
      <c r="H124" s="70"/>
      <c r="I124" s="70"/>
      <c r="J124" s="70"/>
      <c r="K124" s="46">
        <v>0</v>
      </c>
    </row>
    <row r="125" spans="1:22" ht="23.25" x14ac:dyDescent="0.25">
      <c r="A125" s="8" t="s">
        <v>79</v>
      </c>
      <c r="B125" s="73"/>
      <c r="C125" s="74"/>
      <c r="D125" s="70"/>
      <c r="E125" s="70"/>
      <c r="F125" s="70"/>
      <c r="G125" s="70"/>
      <c r="H125" s="70"/>
      <c r="I125" s="70"/>
      <c r="J125" s="70"/>
      <c r="K125" s="54">
        <f>SUM(K123+K124)</f>
        <v>2763.31</v>
      </c>
    </row>
    <row r="126" spans="1:22" ht="16.5" thickBot="1" x14ac:dyDescent="0.3">
      <c r="A126" s="34" t="s">
        <v>90</v>
      </c>
      <c r="B126" s="75"/>
      <c r="C126" s="76"/>
      <c r="D126" s="76"/>
      <c r="E126" s="76"/>
      <c r="F126" s="76"/>
      <c r="G126" s="76"/>
      <c r="H126" s="76"/>
      <c r="I126" s="76"/>
      <c r="J126" s="76"/>
      <c r="K126" s="59">
        <f>K125/100*97.5</f>
        <v>2694.2272499999999</v>
      </c>
    </row>
    <row r="127" spans="1:22" ht="15.75" x14ac:dyDescent="0.25">
      <c r="A127" s="1" t="s">
        <v>80</v>
      </c>
      <c r="D127" s="2" t="s">
        <v>32</v>
      </c>
      <c r="K127" s="62"/>
    </row>
    <row r="128" spans="1:22" ht="16.5" thickBot="1" x14ac:dyDescent="0.3">
      <c r="C128" s="1" t="s">
        <v>82</v>
      </c>
      <c r="K128" s="62"/>
    </row>
    <row r="129" spans="1:12" x14ac:dyDescent="0.2">
      <c r="A129" s="4" t="s">
        <v>0</v>
      </c>
      <c r="B129" s="5" t="s">
        <v>1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3" t="s">
        <v>10</v>
      </c>
    </row>
    <row r="130" spans="1:12" x14ac:dyDescent="0.2">
      <c r="A130" s="8" t="s">
        <v>34</v>
      </c>
      <c r="B130" s="9"/>
      <c r="C130" s="10">
        <f t="shared" ref="C130:J132" si="51">C4-C30-C55-C80-C105</f>
        <v>1806</v>
      </c>
      <c r="D130" s="10">
        <f t="shared" si="51"/>
        <v>7139</v>
      </c>
      <c r="E130" s="10">
        <f t="shared" si="51"/>
        <v>13872</v>
      </c>
      <c r="F130" s="10">
        <f t="shared" si="51"/>
        <v>13237</v>
      </c>
      <c r="G130" s="10">
        <f t="shared" si="51"/>
        <v>6414</v>
      </c>
      <c r="H130" s="10">
        <f t="shared" si="51"/>
        <v>2620</v>
      </c>
      <c r="I130" s="10">
        <f t="shared" si="51"/>
        <v>3116</v>
      </c>
      <c r="J130" s="10">
        <f t="shared" si="51"/>
        <v>573</v>
      </c>
      <c r="K130" s="46">
        <f>SUM(B130:J130)</f>
        <v>48777</v>
      </c>
    </row>
    <row r="131" spans="1:12" x14ac:dyDescent="0.2">
      <c r="A131" s="8" t="s">
        <v>72</v>
      </c>
      <c r="B131" s="9"/>
      <c r="C131" s="77">
        <f>C5-C31-C56-C81-C106</f>
        <v>0</v>
      </c>
      <c r="D131" s="77">
        <f t="shared" si="51"/>
        <v>7</v>
      </c>
      <c r="E131" s="77">
        <f t="shared" si="51"/>
        <v>22</v>
      </c>
      <c r="F131" s="77">
        <f t="shared" si="51"/>
        <v>22</v>
      </c>
      <c r="G131" s="77">
        <f t="shared" si="51"/>
        <v>10</v>
      </c>
      <c r="H131" s="77">
        <f t="shared" si="51"/>
        <v>4</v>
      </c>
      <c r="I131" s="77">
        <f t="shared" si="51"/>
        <v>4</v>
      </c>
      <c r="J131" s="77">
        <f t="shared" si="51"/>
        <v>1</v>
      </c>
      <c r="K131" s="48">
        <f>SUM(C131:J131)</f>
        <v>70</v>
      </c>
    </row>
    <row r="132" spans="1:12" x14ac:dyDescent="0.2">
      <c r="A132" s="8" t="s">
        <v>83</v>
      </c>
      <c r="B132" s="9"/>
      <c r="C132" s="77">
        <f>C6-C32-C57-C82-C107</f>
        <v>28</v>
      </c>
      <c r="D132" s="77">
        <f t="shared" si="51"/>
        <v>107</v>
      </c>
      <c r="E132" s="77">
        <f t="shared" si="51"/>
        <v>221</v>
      </c>
      <c r="F132" s="77">
        <f t="shared" si="51"/>
        <v>185</v>
      </c>
      <c r="G132" s="77">
        <f t="shared" si="51"/>
        <v>80</v>
      </c>
      <c r="H132" s="77">
        <f t="shared" si="51"/>
        <v>33</v>
      </c>
      <c r="I132" s="77">
        <f t="shared" si="51"/>
        <v>38</v>
      </c>
      <c r="J132" s="77">
        <f t="shared" si="51"/>
        <v>7</v>
      </c>
      <c r="K132" s="50">
        <f>SUM(B132:J132)</f>
        <v>699</v>
      </c>
    </row>
    <row r="133" spans="1:12" x14ac:dyDescent="0.2">
      <c r="A133" s="8" t="s">
        <v>84</v>
      </c>
      <c r="B133" s="9"/>
      <c r="C133" s="77">
        <f t="shared" ref="C133:J134" si="52">C7-C33-C58-C83-C108</f>
        <v>458</v>
      </c>
      <c r="D133" s="77">
        <f t="shared" si="52"/>
        <v>723</v>
      </c>
      <c r="E133" s="77">
        <f t="shared" si="52"/>
        <v>1117</v>
      </c>
      <c r="F133" s="77">
        <f t="shared" si="52"/>
        <v>1762</v>
      </c>
      <c r="G133" s="77">
        <f t="shared" si="52"/>
        <v>1029</v>
      </c>
      <c r="H133" s="77">
        <f t="shared" si="52"/>
        <v>237</v>
      </c>
      <c r="I133" s="77">
        <f t="shared" si="52"/>
        <v>235</v>
      </c>
      <c r="J133" s="77">
        <f t="shared" si="52"/>
        <v>206</v>
      </c>
      <c r="K133" s="46">
        <f>SUM(C133:J133)</f>
        <v>5767</v>
      </c>
    </row>
    <row r="134" spans="1:12" x14ac:dyDescent="0.2">
      <c r="A134" s="8" t="s">
        <v>13</v>
      </c>
      <c r="B134" s="9"/>
      <c r="C134" s="77">
        <f t="shared" si="52"/>
        <v>318</v>
      </c>
      <c r="D134" s="77">
        <f t="shared" si="52"/>
        <v>1680</v>
      </c>
      <c r="E134" s="77">
        <f t="shared" si="52"/>
        <v>2044</v>
      </c>
      <c r="F134" s="77">
        <f t="shared" si="52"/>
        <v>775</v>
      </c>
      <c r="G134" s="77">
        <f t="shared" si="52"/>
        <v>224</v>
      </c>
      <c r="H134" s="77">
        <f t="shared" si="52"/>
        <v>24</v>
      </c>
      <c r="I134" s="77">
        <f t="shared" si="52"/>
        <v>15</v>
      </c>
      <c r="J134" s="77">
        <f t="shared" si="52"/>
        <v>0</v>
      </c>
      <c r="K134" s="46">
        <f>SUM(C134:J134)</f>
        <v>5080</v>
      </c>
      <c r="L134" s="12"/>
    </row>
    <row r="135" spans="1:12" ht="22.5" x14ac:dyDescent="0.2">
      <c r="A135" s="8" t="s">
        <v>85</v>
      </c>
      <c r="B135" s="9"/>
      <c r="C135" s="14">
        <f>C130+C131+C132-C133-C134</f>
        <v>1058</v>
      </c>
      <c r="D135" s="14">
        <f t="shared" ref="D135:J135" si="53">D130+D131+D132-D133-D134</f>
        <v>4850</v>
      </c>
      <c r="E135" s="14">
        <f t="shared" si="53"/>
        <v>10954</v>
      </c>
      <c r="F135" s="14">
        <f t="shared" si="53"/>
        <v>10907</v>
      </c>
      <c r="G135" s="14">
        <f t="shared" si="53"/>
        <v>5251</v>
      </c>
      <c r="H135" s="14">
        <f t="shared" si="53"/>
        <v>2396</v>
      </c>
      <c r="I135" s="14">
        <f t="shared" si="53"/>
        <v>2908</v>
      </c>
      <c r="J135" s="14">
        <f t="shared" si="53"/>
        <v>375</v>
      </c>
      <c r="K135" s="46">
        <f>K130+K131+K132-K133-K134</f>
        <v>38699</v>
      </c>
    </row>
    <row r="136" spans="1:12" ht="22.5" x14ac:dyDescent="0.2">
      <c r="A136" s="8" t="s">
        <v>86</v>
      </c>
      <c r="B136" s="9"/>
      <c r="C136" s="14">
        <f t="shared" ref="C136:J136" si="54">C10-C36-C61-C86-C111</f>
        <v>0</v>
      </c>
      <c r="D136" s="14">
        <f t="shared" si="54"/>
        <v>17</v>
      </c>
      <c r="E136" s="14">
        <f t="shared" si="54"/>
        <v>47</v>
      </c>
      <c r="F136" s="14">
        <f t="shared" si="54"/>
        <v>51</v>
      </c>
      <c r="G136" s="14">
        <f t="shared" si="54"/>
        <v>25</v>
      </c>
      <c r="H136" s="14">
        <f t="shared" si="54"/>
        <v>12</v>
      </c>
      <c r="I136" s="14">
        <f t="shared" si="54"/>
        <v>14</v>
      </c>
      <c r="J136" s="14">
        <f t="shared" si="54"/>
        <v>6</v>
      </c>
      <c r="K136" s="50">
        <f>SUM(C136:J136)</f>
        <v>172</v>
      </c>
    </row>
    <row r="137" spans="1:12" ht="33.75" x14ac:dyDescent="0.2">
      <c r="A137" s="8" t="s">
        <v>15</v>
      </c>
      <c r="B137" s="16">
        <f t="shared" ref="B137:I137" si="55">C136</f>
        <v>0</v>
      </c>
      <c r="C137" s="16">
        <f t="shared" si="55"/>
        <v>17</v>
      </c>
      <c r="D137" s="16">
        <f t="shared" si="55"/>
        <v>47</v>
      </c>
      <c r="E137" s="16">
        <f t="shared" si="55"/>
        <v>51</v>
      </c>
      <c r="F137" s="16">
        <f t="shared" si="55"/>
        <v>25</v>
      </c>
      <c r="G137" s="16">
        <f t="shared" si="55"/>
        <v>12</v>
      </c>
      <c r="H137" s="16">
        <f t="shared" si="55"/>
        <v>14</v>
      </c>
      <c r="I137" s="16">
        <f t="shared" si="55"/>
        <v>6</v>
      </c>
      <c r="J137" s="9"/>
      <c r="K137" s="50">
        <f>SUM(B137:I137)</f>
        <v>172</v>
      </c>
    </row>
    <row r="138" spans="1:12" ht="22.5" x14ac:dyDescent="0.2">
      <c r="A138" s="8" t="s">
        <v>16</v>
      </c>
      <c r="B138" s="18">
        <f t="shared" ref="B138:K138" si="56">SUM(B135-B136+B137)</f>
        <v>0</v>
      </c>
      <c r="C138" s="18">
        <f t="shared" si="56"/>
        <v>1075</v>
      </c>
      <c r="D138" s="18">
        <f t="shared" si="56"/>
        <v>4880</v>
      </c>
      <c r="E138" s="18">
        <f t="shared" si="56"/>
        <v>10958</v>
      </c>
      <c r="F138" s="18">
        <f t="shared" si="56"/>
        <v>10881</v>
      </c>
      <c r="G138" s="18">
        <f t="shared" si="56"/>
        <v>5238</v>
      </c>
      <c r="H138" s="18">
        <f t="shared" si="56"/>
        <v>2398</v>
      </c>
      <c r="I138" s="18">
        <f t="shared" si="56"/>
        <v>2900</v>
      </c>
      <c r="J138" s="18">
        <f t="shared" si="56"/>
        <v>369</v>
      </c>
      <c r="K138" s="52">
        <f t="shared" si="56"/>
        <v>38699</v>
      </c>
    </row>
    <row r="139" spans="1:12" ht="22.5" x14ac:dyDescent="0.2">
      <c r="A139" s="8" t="s">
        <v>91</v>
      </c>
      <c r="B139" s="14">
        <f>B13-B39-B64-B89-B114</f>
        <v>0</v>
      </c>
      <c r="C139" s="14">
        <f t="shared" ref="C139:J139" si="57">C13-C39-C64-C89-C114</f>
        <v>0</v>
      </c>
      <c r="D139" s="14">
        <f t="shared" si="57"/>
        <v>3</v>
      </c>
      <c r="E139" s="14">
        <f t="shared" si="57"/>
        <v>13</v>
      </c>
      <c r="F139" s="14">
        <f t="shared" si="57"/>
        <v>25</v>
      </c>
      <c r="G139" s="14">
        <f t="shared" si="57"/>
        <v>13</v>
      </c>
      <c r="H139" s="14">
        <f t="shared" si="57"/>
        <v>7</v>
      </c>
      <c r="I139" s="14">
        <f t="shared" si="57"/>
        <v>14</v>
      </c>
      <c r="J139" s="14">
        <f t="shared" si="57"/>
        <v>2</v>
      </c>
      <c r="K139" s="52">
        <f>SUM(B139:J139)</f>
        <v>77</v>
      </c>
    </row>
    <row r="140" spans="1:12" ht="22.5" x14ac:dyDescent="0.2">
      <c r="A140" s="8" t="s">
        <v>87</v>
      </c>
      <c r="B140" s="14">
        <f t="shared" ref="B140:J141" si="58">B14-B40-B65-B90-B115</f>
        <v>0</v>
      </c>
      <c r="C140" s="14">
        <f t="shared" si="58"/>
        <v>878</v>
      </c>
      <c r="D140" s="14">
        <f t="shared" si="58"/>
        <v>3473</v>
      </c>
      <c r="E140" s="14">
        <f t="shared" si="58"/>
        <v>4326</v>
      </c>
      <c r="F140" s="14">
        <f t="shared" si="58"/>
        <v>3528</v>
      </c>
      <c r="G140" s="14">
        <f t="shared" si="58"/>
        <v>1517</v>
      </c>
      <c r="H140" s="14">
        <f t="shared" si="58"/>
        <v>554</v>
      </c>
      <c r="I140" s="14">
        <f t="shared" si="58"/>
        <v>476</v>
      </c>
      <c r="J140" s="14">
        <f t="shared" si="58"/>
        <v>27</v>
      </c>
      <c r="K140" s="52">
        <f>SUM(B140:J140)</f>
        <v>14779</v>
      </c>
    </row>
    <row r="141" spans="1:12" ht="22.5" x14ac:dyDescent="0.2">
      <c r="A141" s="8" t="s">
        <v>88</v>
      </c>
      <c r="B141" s="14">
        <f t="shared" si="58"/>
        <v>0</v>
      </c>
      <c r="C141" s="14">
        <f t="shared" si="58"/>
        <v>2</v>
      </c>
      <c r="D141" s="14">
        <f t="shared" si="58"/>
        <v>9</v>
      </c>
      <c r="E141" s="14">
        <f t="shared" si="58"/>
        <v>21</v>
      </c>
      <c r="F141" s="14">
        <f t="shared" si="58"/>
        <v>30</v>
      </c>
      <c r="G141" s="14">
        <f t="shared" si="58"/>
        <v>16</v>
      </c>
      <c r="H141" s="14">
        <f t="shared" si="58"/>
        <v>14</v>
      </c>
      <c r="I141" s="14">
        <f t="shared" si="58"/>
        <v>28</v>
      </c>
      <c r="J141" s="14">
        <f t="shared" si="58"/>
        <v>16</v>
      </c>
      <c r="K141" s="53">
        <f>SUM(B141:J141)</f>
        <v>136</v>
      </c>
    </row>
    <row r="142" spans="1:12" x14ac:dyDescent="0.2">
      <c r="A142" s="8" t="s">
        <v>73</v>
      </c>
      <c r="B142" s="21">
        <v>0</v>
      </c>
      <c r="C142" s="21">
        <f t="shared" ref="C142:J142" si="59">C132</f>
        <v>28</v>
      </c>
      <c r="D142" s="21">
        <f t="shared" si="59"/>
        <v>107</v>
      </c>
      <c r="E142" s="21">
        <f t="shared" si="59"/>
        <v>221</v>
      </c>
      <c r="F142" s="21">
        <f t="shared" si="59"/>
        <v>185</v>
      </c>
      <c r="G142" s="21">
        <f t="shared" si="59"/>
        <v>80</v>
      </c>
      <c r="H142" s="21">
        <f t="shared" si="59"/>
        <v>33</v>
      </c>
      <c r="I142" s="21">
        <f t="shared" si="59"/>
        <v>38</v>
      </c>
      <c r="J142" s="21">
        <f t="shared" si="59"/>
        <v>7</v>
      </c>
      <c r="K142" s="53">
        <f>SUM(B142:J142)</f>
        <v>699</v>
      </c>
    </row>
    <row r="143" spans="1:12" x14ac:dyDescent="0.2">
      <c r="A143" s="8" t="s">
        <v>74</v>
      </c>
      <c r="B143" s="14">
        <f t="shared" ref="B143:J143" si="60">B17-B43-B68-B93-B118</f>
        <v>0</v>
      </c>
      <c r="C143" s="14">
        <f t="shared" si="60"/>
        <v>3</v>
      </c>
      <c r="D143" s="14">
        <f t="shared" si="60"/>
        <v>9</v>
      </c>
      <c r="E143" s="14">
        <f t="shared" si="60"/>
        <v>13</v>
      </c>
      <c r="F143" s="14">
        <f t="shared" si="60"/>
        <v>17</v>
      </c>
      <c r="G143" s="14">
        <f t="shared" si="60"/>
        <v>10</v>
      </c>
      <c r="H143" s="14">
        <f t="shared" si="60"/>
        <v>2</v>
      </c>
      <c r="I143" s="14">
        <f t="shared" si="60"/>
        <v>5</v>
      </c>
      <c r="J143" s="14">
        <f t="shared" si="60"/>
        <v>1</v>
      </c>
      <c r="K143" s="52">
        <f>SUM(B143:J143)</f>
        <v>60</v>
      </c>
    </row>
    <row r="144" spans="1:12" ht="22.5" x14ac:dyDescent="0.2">
      <c r="A144" s="8" t="s">
        <v>75</v>
      </c>
      <c r="B144" s="14">
        <f>SUM(B138-B139-B140-B141-B142-B143)</f>
        <v>0</v>
      </c>
      <c r="C144" s="14">
        <f t="shared" ref="C144:K144" si="61">SUM(C138-C139-C140-C141-C142-C143)</f>
        <v>164</v>
      </c>
      <c r="D144" s="14">
        <f t="shared" si="61"/>
        <v>1279</v>
      </c>
      <c r="E144" s="14">
        <f t="shared" si="61"/>
        <v>6364</v>
      </c>
      <c r="F144" s="14">
        <f t="shared" si="61"/>
        <v>7096</v>
      </c>
      <c r="G144" s="14">
        <f t="shared" si="61"/>
        <v>3602</v>
      </c>
      <c r="H144" s="14">
        <f t="shared" si="61"/>
        <v>1788</v>
      </c>
      <c r="I144" s="14">
        <f t="shared" si="61"/>
        <v>2339</v>
      </c>
      <c r="J144" s="14">
        <f t="shared" si="61"/>
        <v>316</v>
      </c>
      <c r="K144" s="52">
        <f t="shared" si="61"/>
        <v>22948</v>
      </c>
    </row>
    <row r="145" spans="1:11" ht="33.75" x14ac:dyDescent="0.2">
      <c r="A145" s="8" t="s">
        <v>76</v>
      </c>
      <c r="B145" s="24">
        <f>SUM((B139*0.75)+(B140*0.75)+(B141*0.5)+(B142*0.5)+ (B143*1.5)+B144)</f>
        <v>0</v>
      </c>
      <c r="C145" s="24">
        <f t="shared" ref="C145:J145" si="62">SUM((C139*0.75)+(C140*0.75)+(C141*0.5)+(C142*0.5)+ (C143*1.5)+C144)</f>
        <v>842</v>
      </c>
      <c r="D145" s="24">
        <f t="shared" si="62"/>
        <v>3957.5</v>
      </c>
      <c r="E145" s="24">
        <f t="shared" si="62"/>
        <v>9758.75</v>
      </c>
      <c r="F145" s="24">
        <f t="shared" si="62"/>
        <v>9893.75</v>
      </c>
      <c r="G145" s="24">
        <f t="shared" si="62"/>
        <v>4812.5</v>
      </c>
      <c r="H145" s="24">
        <f t="shared" si="62"/>
        <v>2235.25</v>
      </c>
      <c r="I145" s="24">
        <f t="shared" si="62"/>
        <v>2747</v>
      </c>
      <c r="J145" s="24">
        <f t="shared" si="62"/>
        <v>350.75</v>
      </c>
      <c r="K145" s="54">
        <f>SUM(B145:J145)</f>
        <v>34597.5</v>
      </c>
    </row>
    <row r="146" spans="1:11" x14ac:dyDescent="0.2">
      <c r="A146" s="8" t="s">
        <v>77</v>
      </c>
      <c r="B146" s="26" t="s">
        <v>21</v>
      </c>
      <c r="C146" s="26" t="s">
        <v>22</v>
      </c>
      <c r="D146" s="27" t="s">
        <v>23</v>
      </c>
      <c r="E146" s="27" t="s">
        <v>24</v>
      </c>
      <c r="F146" s="27">
        <v>1</v>
      </c>
      <c r="G146" s="27" t="s">
        <v>25</v>
      </c>
      <c r="H146" s="27" t="s">
        <v>26</v>
      </c>
      <c r="I146" s="27" t="s">
        <v>27</v>
      </c>
      <c r="J146" s="27" t="s">
        <v>28</v>
      </c>
      <c r="K146" s="50"/>
    </row>
    <row r="147" spans="1:11" x14ac:dyDescent="0.2">
      <c r="A147" s="8"/>
      <c r="B147" s="26"/>
      <c r="C147" s="26"/>
      <c r="D147" s="27"/>
      <c r="E147" s="27"/>
      <c r="F147" s="27"/>
      <c r="G147" s="27"/>
      <c r="H147" s="27"/>
      <c r="I147" s="27"/>
      <c r="J147" s="27"/>
      <c r="K147" s="50"/>
    </row>
    <row r="148" spans="1:11" ht="15" x14ac:dyDescent="0.25">
      <c r="A148" s="8" t="s">
        <v>78</v>
      </c>
      <c r="B148" s="28">
        <f>ROUND(B145/9*5,2)</f>
        <v>0</v>
      </c>
      <c r="C148" s="28">
        <f>ROUND(C145/9*6,2)</f>
        <v>561.33000000000004</v>
      </c>
      <c r="D148" s="28">
        <f>ROUND(D145/9*7,2)</f>
        <v>3078.06</v>
      </c>
      <c r="E148" s="28">
        <f>ROUND(E145/9*8,2)</f>
        <v>8674.44</v>
      </c>
      <c r="F148" s="28">
        <f>ROUND(F145*F146,2)</f>
        <v>9893.75</v>
      </c>
      <c r="G148" s="28">
        <f>ROUND(G145/9*11,2)</f>
        <v>5881.94</v>
      </c>
      <c r="H148" s="28">
        <f>ROUND(H145/9*13,2)</f>
        <v>3228.69</v>
      </c>
      <c r="I148" s="28">
        <f>ROUND(I145/9*15,2)</f>
        <v>4578.33</v>
      </c>
      <c r="J148" s="28">
        <f>ROUND(J145/9*18,2)</f>
        <v>701.5</v>
      </c>
      <c r="K148" s="54">
        <f>SUM(B148:J148)</f>
        <v>36598.04</v>
      </c>
    </row>
    <row r="149" spans="1:11" ht="23.25" x14ac:dyDescent="0.25">
      <c r="A149" s="8" t="s">
        <v>89</v>
      </c>
      <c r="B149" s="55"/>
      <c r="C149" s="51"/>
      <c r="D149" s="51"/>
      <c r="E149" s="51"/>
      <c r="F149" s="51"/>
      <c r="G149" s="51"/>
      <c r="H149" s="51"/>
      <c r="I149" s="51"/>
      <c r="J149" s="51"/>
      <c r="K149" s="56">
        <v>0</v>
      </c>
    </row>
    <row r="150" spans="1:11" ht="23.25" x14ac:dyDescent="0.25">
      <c r="A150" s="8" t="s">
        <v>79</v>
      </c>
      <c r="B150" s="55"/>
      <c r="C150" s="51"/>
      <c r="D150" s="51"/>
      <c r="E150" s="51"/>
      <c r="F150" s="51"/>
      <c r="G150" s="51"/>
      <c r="H150" s="51"/>
      <c r="I150" s="51"/>
      <c r="J150" s="51"/>
      <c r="K150" s="54">
        <f>SUM(K148+K149)</f>
        <v>36598.04</v>
      </c>
    </row>
    <row r="151" spans="1:11" ht="16.5" thickBot="1" x14ac:dyDescent="0.3">
      <c r="A151" s="34" t="s">
        <v>90</v>
      </c>
      <c r="B151" s="57"/>
      <c r="C151" s="58"/>
      <c r="D151" s="58"/>
      <c r="E151" s="58"/>
      <c r="F151" s="58"/>
      <c r="G151" s="58"/>
      <c r="H151" s="58"/>
      <c r="I151" s="58"/>
      <c r="J151" s="58"/>
      <c r="K151" s="59">
        <f>K150/100*97.5</f>
        <v>35683.089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zoomScaleNormal="100" workbookViewId="0">
      <selection activeCell="K24" sqref="K24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7.85546875" customWidth="1"/>
    <col min="11" max="11" width="9.85546875" customWidth="1"/>
    <col min="12" max="12" width="9.28515625" bestFit="1" customWidth="1"/>
    <col min="13" max="13" width="10.28515625" bestFit="1" customWidth="1"/>
  </cols>
  <sheetData>
    <row r="1" spans="1:22" ht="14.45" customHeight="1" x14ac:dyDescent="0.25">
      <c r="A1" s="1" t="s">
        <v>70</v>
      </c>
      <c r="D1" s="2" t="s">
        <v>32</v>
      </c>
    </row>
    <row r="2" spans="1:22" ht="16.149999999999999" customHeight="1" thickBot="1" x14ac:dyDescent="0.3">
      <c r="C2" s="1" t="s">
        <v>71</v>
      </c>
    </row>
    <row r="3" spans="1:22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  <c r="M3" s="12" t="s">
        <v>44</v>
      </c>
      <c r="N3" s="12" t="s">
        <v>43</v>
      </c>
      <c r="O3" s="43">
        <v>41729</v>
      </c>
      <c r="P3" s="12" t="s">
        <v>12</v>
      </c>
      <c r="Q3" s="15" t="s">
        <v>45</v>
      </c>
      <c r="R3" s="15" t="s">
        <v>43</v>
      </c>
      <c r="S3" s="43">
        <v>41965</v>
      </c>
      <c r="T3">
        <v>5777</v>
      </c>
      <c r="U3">
        <v>50</v>
      </c>
    </row>
    <row r="4" spans="1:22" ht="13.15" customHeight="1" x14ac:dyDescent="0.2">
      <c r="A4" s="8" t="s">
        <v>34</v>
      </c>
      <c r="B4" s="45"/>
      <c r="C4" s="10">
        <v>2399</v>
      </c>
      <c r="D4" s="10">
        <v>9137</v>
      </c>
      <c r="E4" s="10">
        <v>18793</v>
      </c>
      <c r="F4" s="10">
        <v>15710</v>
      </c>
      <c r="G4" s="10">
        <v>6848</v>
      </c>
      <c r="H4" s="10">
        <v>2794</v>
      </c>
      <c r="I4" s="10">
        <v>3215</v>
      </c>
      <c r="J4" s="10">
        <v>578</v>
      </c>
      <c r="K4" s="46">
        <f>SUM(B4:J4)</f>
        <v>59474</v>
      </c>
      <c r="N4">
        <v>424</v>
      </c>
      <c r="O4">
        <v>723</v>
      </c>
      <c r="P4">
        <v>1144</v>
      </c>
      <c r="Q4">
        <v>1781</v>
      </c>
      <c r="R4">
        <v>1026</v>
      </c>
      <c r="S4">
        <v>239</v>
      </c>
      <c r="T4">
        <v>234</v>
      </c>
      <c r="U4">
        <v>206</v>
      </c>
      <c r="V4">
        <f>SUM(N4:U4)</f>
        <v>5777</v>
      </c>
    </row>
    <row r="5" spans="1:22" ht="11.45" customHeight="1" x14ac:dyDescent="0.2">
      <c r="A5" s="8" t="s">
        <v>72</v>
      </c>
      <c r="B5" s="45"/>
      <c r="C5" s="47"/>
      <c r="D5" s="47"/>
      <c r="E5" s="47"/>
      <c r="F5" s="47"/>
      <c r="G5" s="47"/>
      <c r="H5" s="47"/>
      <c r="I5" s="47"/>
      <c r="J5" s="47"/>
      <c r="K5" s="48">
        <f>SUM(C5:J5)</f>
        <v>0</v>
      </c>
      <c r="N5" s="81">
        <v>0</v>
      </c>
      <c r="O5" s="81">
        <v>7</v>
      </c>
      <c r="P5" s="81">
        <v>14</v>
      </c>
      <c r="Q5" s="81">
        <v>20</v>
      </c>
      <c r="R5" s="81">
        <v>7</v>
      </c>
      <c r="S5" s="81">
        <v>1</v>
      </c>
      <c r="T5" s="81">
        <v>1</v>
      </c>
      <c r="U5" s="81">
        <v>0</v>
      </c>
      <c r="V5">
        <f>SUM(N5:U5)</f>
        <v>50</v>
      </c>
    </row>
    <row r="6" spans="1:22" ht="11.45" customHeight="1" x14ac:dyDescent="0.2">
      <c r="A6" s="8" t="s">
        <v>83</v>
      </c>
      <c r="B6" s="45"/>
      <c r="C6" s="49"/>
      <c r="D6" s="49"/>
      <c r="E6" s="49"/>
      <c r="F6" s="49"/>
      <c r="G6" s="49"/>
      <c r="H6" s="49"/>
      <c r="I6" s="49"/>
      <c r="J6" s="49"/>
      <c r="K6" s="50">
        <f>SUM(B6:J6)</f>
        <v>0</v>
      </c>
      <c r="N6">
        <f t="shared" ref="N6:U6" si="0">N4+N5</f>
        <v>424</v>
      </c>
      <c r="O6">
        <f t="shared" si="0"/>
        <v>730</v>
      </c>
      <c r="P6">
        <f t="shared" si="0"/>
        <v>1158</v>
      </c>
      <c r="Q6">
        <f t="shared" si="0"/>
        <v>1801</v>
      </c>
      <c r="R6">
        <f t="shared" si="0"/>
        <v>1033</v>
      </c>
      <c r="S6">
        <f t="shared" si="0"/>
        <v>240</v>
      </c>
      <c r="T6">
        <f t="shared" si="0"/>
        <v>235</v>
      </c>
      <c r="U6">
        <f t="shared" si="0"/>
        <v>206</v>
      </c>
    </row>
    <row r="7" spans="1:22" ht="12" customHeight="1" x14ac:dyDescent="0.2">
      <c r="A7" s="8" t="s">
        <v>84</v>
      </c>
      <c r="B7" s="45"/>
      <c r="C7" s="10">
        <f t="shared" ref="C7:J7" si="1">N6</f>
        <v>424</v>
      </c>
      <c r="D7" s="10">
        <f t="shared" si="1"/>
        <v>730</v>
      </c>
      <c r="E7" s="10">
        <f t="shared" si="1"/>
        <v>1158</v>
      </c>
      <c r="F7" s="10">
        <f t="shared" si="1"/>
        <v>1801</v>
      </c>
      <c r="G7" s="10">
        <f t="shared" si="1"/>
        <v>1033</v>
      </c>
      <c r="H7" s="10">
        <f t="shared" si="1"/>
        <v>240</v>
      </c>
      <c r="I7" s="10">
        <f t="shared" si="1"/>
        <v>235</v>
      </c>
      <c r="J7" s="10">
        <f t="shared" si="1"/>
        <v>206</v>
      </c>
      <c r="K7" s="46">
        <f>SUM(C7:J7)</f>
        <v>5827</v>
      </c>
      <c r="L7" s="12"/>
    </row>
    <row r="8" spans="1:22" ht="24.75" customHeight="1" x14ac:dyDescent="0.2">
      <c r="A8" s="8" t="s">
        <v>96</v>
      </c>
      <c r="B8" s="45"/>
      <c r="C8" s="14">
        <f>C4+C5+C6-C7</f>
        <v>1975</v>
      </c>
      <c r="D8" s="14">
        <f t="shared" ref="D8:J8" si="2">D4+D5+D6-D7</f>
        <v>8407</v>
      </c>
      <c r="E8" s="14">
        <f t="shared" si="2"/>
        <v>17635</v>
      </c>
      <c r="F8" s="14">
        <f t="shared" si="2"/>
        <v>13909</v>
      </c>
      <c r="G8" s="14">
        <f t="shared" si="2"/>
        <v>5815</v>
      </c>
      <c r="H8" s="14">
        <f t="shared" si="2"/>
        <v>2554</v>
      </c>
      <c r="I8" s="14">
        <f t="shared" si="2"/>
        <v>2980</v>
      </c>
      <c r="J8" s="14">
        <f t="shared" si="2"/>
        <v>372</v>
      </c>
      <c r="K8" s="46">
        <f>K4+K5+K6-K7</f>
        <v>53647</v>
      </c>
      <c r="L8" s="12"/>
    </row>
    <row r="9" spans="1:22" ht="22.9" customHeight="1" x14ac:dyDescent="0.2">
      <c r="A9" s="8" t="s">
        <v>97</v>
      </c>
      <c r="B9" s="45"/>
      <c r="C9" s="14">
        <v>2</v>
      </c>
      <c r="D9" s="14">
        <v>20</v>
      </c>
      <c r="E9" s="14">
        <v>77</v>
      </c>
      <c r="F9" s="14">
        <v>67</v>
      </c>
      <c r="G9" s="14">
        <v>29</v>
      </c>
      <c r="H9" s="14">
        <v>13</v>
      </c>
      <c r="I9" s="14">
        <v>16</v>
      </c>
      <c r="J9" s="14">
        <v>8</v>
      </c>
      <c r="K9" s="50">
        <f>SUM(C9:J9)</f>
        <v>232</v>
      </c>
    </row>
    <row r="10" spans="1:22" ht="23.45" customHeight="1" x14ac:dyDescent="0.2">
      <c r="A10" s="8" t="s">
        <v>98</v>
      </c>
      <c r="B10" s="16">
        <f t="shared" ref="B10:I10" si="3">C9</f>
        <v>2</v>
      </c>
      <c r="C10" s="16">
        <f t="shared" si="3"/>
        <v>20</v>
      </c>
      <c r="D10" s="16">
        <f t="shared" si="3"/>
        <v>77</v>
      </c>
      <c r="E10" s="16">
        <f t="shared" si="3"/>
        <v>67</v>
      </c>
      <c r="F10" s="16">
        <f t="shared" si="3"/>
        <v>29</v>
      </c>
      <c r="G10" s="16">
        <f t="shared" si="3"/>
        <v>13</v>
      </c>
      <c r="H10" s="16">
        <f t="shared" si="3"/>
        <v>16</v>
      </c>
      <c r="I10" s="16">
        <f t="shared" si="3"/>
        <v>8</v>
      </c>
      <c r="J10" s="45"/>
      <c r="K10" s="50">
        <f>SUM(B10:I10)</f>
        <v>232</v>
      </c>
    </row>
    <row r="11" spans="1:22" ht="25.15" customHeight="1" x14ac:dyDescent="0.2">
      <c r="A11" s="8" t="s">
        <v>99</v>
      </c>
      <c r="B11" s="18">
        <f t="shared" ref="B11:K11" si="4">SUM(B8-B9+B10)</f>
        <v>2</v>
      </c>
      <c r="C11" s="18">
        <f t="shared" si="4"/>
        <v>1993</v>
      </c>
      <c r="D11" s="18">
        <f t="shared" si="4"/>
        <v>8464</v>
      </c>
      <c r="E11" s="18">
        <f t="shared" si="4"/>
        <v>17625</v>
      </c>
      <c r="F11" s="18">
        <f t="shared" si="4"/>
        <v>13871</v>
      </c>
      <c r="G11" s="18">
        <f t="shared" si="4"/>
        <v>5799</v>
      </c>
      <c r="H11" s="18">
        <f t="shared" si="4"/>
        <v>2557</v>
      </c>
      <c r="I11" s="18">
        <f t="shared" si="4"/>
        <v>2972</v>
      </c>
      <c r="J11" s="18">
        <f t="shared" si="4"/>
        <v>364</v>
      </c>
      <c r="K11" s="52">
        <f t="shared" si="4"/>
        <v>53647</v>
      </c>
      <c r="L11" s="12"/>
    </row>
    <row r="12" spans="1:22" s="12" customFormat="1" ht="22.15" customHeight="1" x14ac:dyDescent="0.2">
      <c r="A12" s="8" t="s">
        <v>100</v>
      </c>
      <c r="B12" s="14">
        <v>0</v>
      </c>
      <c r="C12" s="20">
        <v>0</v>
      </c>
      <c r="D12" s="20">
        <v>4</v>
      </c>
      <c r="E12" s="20">
        <v>16</v>
      </c>
      <c r="F12" s="20">
        <v>27</v>
      </c>
      <c r="G12" s="20">
        <v>15</v>
      </c>
      <c r="H12" s="20">
        <v>7</v>
      </c>
      <c r="I12" s="20">
        <v>14</v>
      </c>
      <c r="J12" s="20">
        <v>2</v>
      </c>
      <c r="K12" s="52">
        <f>SUM(B12:J12)</f>
        <v>85</v>
      </c>
    </row>
    <row r="13" spans="1:22" ht="22.15" customHeight="1" x14ac:dyDescent="0.2">
      <c r="A13" s="8" t="s">
        <v>101</v>
      </c>
      <c r="B13" s="14">
        <v>0</v>
      </c>
      <c r="C13" s="14">
        <f>1267+18</f>
        <v>1285</v>
      </c>
      <c r="D13" s="14">
        <f>4514+146</f>
        <v>4660</v>
      </c>
      <c r="E13" s="14">
        <f>5401+412</f>
        <v>5813</v>
      </c>
      <c r="F13" s="14">
        <f>3715+450</f>
        <v>4165</v>
      </c>
      <c r="G13" s="14">
        <f>1410+209</f>
        <v>1619</v>
      </c>
      <c r="H13" s="14">
        <f>541+47</f>
        <v>588</v>
      </c>
      <c r="I13" s="14">
        <f>473+23</f>
        <v>496</v>
      </c>
      <c r="J13" s="14">
        <f>25+2</f>
        <v>27</v>
      </c>
      <c r="K13" s="52">
        <f>SUM(B13:J13)</f>
        <v>18653</v>
      </c>
      <c r="L13" s="12"/>
    </row>
    <row r="14" spans="1:22" s="12" customFormat="1" ht="22.9" customHeight="1" x14ac:dyDescent="0.2">
      <c r="A14" s="8" t="s">
        <v>102</v>
      </c>
      <c r="B14" s="21">
        <v>0</v>
      </c>
      <c r="C14" s="21">
        <f>N17</f>
        <v>2</v>
      </c>
      <c r="D14" s="21">
        <f t="shared" ref="D14:J14" si="5">O17</f>
        <v>14</v>
      </c>
      <c r="E14" s="21">
        <f t="shared" si="5"/>
        <v>38</v>
      </c>
      <c r="F14" s="21">
        <f t="shared" si="5"/>
        <v>30</v>
      </c>
      <c r="G14" s="21">
        <f t="shared" si="5"/>
        <v>18</v>
      </c>
      <c r="H14" s="21">
        <f t="shared" si="5"/>
        <v>15</v>
      </c>
      <c r="I14" s="21">
        <f t="shared" si="5"/>
        <v>30</v>
      </c>
      <c r="J14" s="21">
        <f t="shared" si="5"/>
        <v>16</v>
      </c>
      <c r="K14" s="53">
        <f>SUM(B14:J14)</f>
        <v>163</v>
      </c>
    </row>
    <row r="15" spans="1:22" ht="12.6" customHeight="1" x14ac:dyDescent="0.2">
      <c r="A15" s="8" t="s">
        <v>103</v>
      </c>
      <c r="B15" s="21">
        <v>0</v>
      </c>
      <c r="C15" s="21">
        <f t="shared" ref="C15:J15" si="6">C6</f>
        <v>0</v>
      </c>
      <c r="D15" s="21">
        <f t="shared" si="6"/>
        <v>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 t="shared" si="6"/>
        <v>0</v>
      </c>
      <c r="I15" s="21">
        <f t="shared" si="6"/>
        <v>0</v>
      </c>
      <c r="J15" s="21">
        <f t="shared" si="6"/>
        <v>0</v>
      </c>
      <c r="K15" s="53">
        <f>SUM(B15:J15)</f>
        <v>0</v>
      </c>
      <c r="M15" s="12" t="s">
        <v>93</v>
      </c>
      <c r="N15">
        <v>2</v>
      </c>
      <c r="O15">
        <v>8</v>
      </c>
      <c r="P15">
        <v>35</v>
      </c>
      <c r="Q15">
        <v>22</v>
      </c>
      <c r="R15">
        <v>15</v>
      </c>
      <c r="S15">
        <v>14</v>
      </c>
      <c r="T15">
        <v>27</v>
      </c>
      <c r="U15">
        <v>14</v>
      </c>
      <c r="V15">
        <f>SUM(N15:U15)</f>
        <v>137</v>
      </c>
    </row>
    <row r="16" spans="1:22" ht="12.6" customHeight="1" x14ac:dyDescent="0.2">
      <c r="A16" s="8" t="s">
        <v>104</v>
      </c>
      <c r="B16" s="14">
        <v>0</v>
      </c>
      <c r="C16" s="21">
        <v>5</v>
      </c>
      <c r="D16" s="21">
        <v>18</v>
      </c>
      <c r="E16" s="21">
        <v>18</v>
      </c>
      <c r="F16" s="21">
        <v>17</v>
      </c>
      <c r="G16" s="21">
        <v>10</v>
      </c>
      <c r="H16" s="21">
        <v>2</v>
      </c>
      <c r="I16" s="21">
        <v>5</v>
      </c>
      <c r="J16" s="21">
        <v>1</v>
      </c>
      <c r="K16" s="52">
        <f>SUM(B16:J16)</f>
        <v>76</v>
      </c>
      <c r="M16" s="12" t="s">
        <v>92</v>
      </c>
      <c r="N16" s="81">
        <v>0</v>
      </c>
      <c r="O16" s="81">
        <v>6</v>
      </c>
      <c r="P16" s="81">
        <v>3</v>
      </c>
      <c r="Q16" s="81">
        <v>8</v>
      </c>
      <c r="R16" s="81">
        <v>3</v>
      </c>
      <c r="S16" s="81">
        <v>1</v>
      </c>
      <c r="T16" s="81">
        <v>3</v>
      </c>
      <c r="U16" s="81">
        <v>2</v>
      </c>
      <c r="V16">
        <f>SUM(N16:U16)</f>
        <v>26</v>
      </c>
    </row>
    <row r="17" spans="1:22" ht="22.9" customHeight="1" x14ac:dyDescent="0.2">
      <c r="A17" s="8" t="s">
        <v>105</v>
      </c>
      <c r="B17" s="14">
        <f>SUM(B11-B12-B13-B14-B15-B16)</f>
        <v>2</v>
      </c>
      <c r="C17" s="14">
        <f t="shared" ref="C17:K17" si="7">SUM(C11-C12-C13-C14-C15-C16)</f>
        <v>701</v>
      </c>
      <c r="D17" s="14">
        <f t="shared" si="7"/>
        <v>3768</v>
      </c>
      <c r="E17" s="14">
        <f t="shared" si="7"/>
        <v>11740</v>
      </c>
      <c r="F17" s="14">
        <f t="shared" si="7"/>
        <v>9632</v>
      </c>
      <c r="G17" s="14">
        <f t="shared" si="7"/>
        <v>4137</v>
      </c>
      <c r="H17" s="14">
        <f t="shared" si="7"/>
        <v>1945</v>
      </c>
      <c r="I17" s="14">
        <f t="shared" si="7"/>
        <v>2427</v>
      </c>
      <c r="J17" s="14">
        <f t="shared" si="7"/>
        <v>318</v>
      </c>
      <c r="K17" s="52">
        <f t="shared" si="7"/>
        <v>34670</v>
      </c>
      <c r="L17" s="12"/>
      <c r="N17">
        <f>N15+N16</f>
        <v>2</v>
      </c>
      <c r="O17">
        <f t="shared" ref="O17:U17" si="8">O15+O16</f>
        <v>14</v>
      </c>
      <c r="P17">
        <f t="shared" si="8"/>
        <v>38</v>
      </c>
      <c r="Q17">
        <f t="shared" si="8"/>
        <v>30</v>
      </c>
      <c r="R17">
        <f t="shared" si="8"/>
        <v>18</v>
      </c>
      <c r="S17">
        <f t="shared" si="8"/>
        <v>15</v>
      </c>
      <c r="T17">
        <f t="shared" si="8"/>
        <v>30</v>
      </c>
      <c r="U17">
        <f t="shared" si="8"/>
        <v>16</v>
      </c>
    </row>
    <row r="18" spans="1:22" ht="34.9" customHeight="1" x14ac:dyDescent="0.2">
      <c r="A18" s="8" t="s">
        <v>106</v>
      </c>
      <c r="B18" s="24">
        <f>SUM((B12*0.75)+(B13*0.75)+(B14*0.5)+(B15*0.5)+ (B16*1.5)+B17)</f>
        <v>2</v>
      </c>
      <c r="C18" s="24">
        <f t="shared" ref="C18:J18" si="9">SUM((C12*0.75)+(C13*0.75)+(C14*0.5)+(C15*0.5)+ (C16*1.5)+C17)</f>
        <v>1673.25</v>
      </c>
      <c r="D18" s="24">
        <f t="shared" si="9"/>
        <v>7300</v>
      </c>
      <c r="E18" s="24">
        <f t="shared" si="9"/>
        <v>16157.75</v>
      </c>
      <c r="F18" s="24">
        <f t="shared" si="9"/>
        <v>12816.5</v>
      </c>
      <c r="G18" s="24">
        <f t="shared" si="9"/>
        <v>5386.5</v>
      </c>
      <c r="H18" s="24">
        <f t="shared" si="9"/>
        <v>2401.75</v>
      </c>
      <c r="I18" s="24">
        <f t="shared" si="9"/>
        <v>2832</v>
      </c>
      <c r="J18" s="24">
        <f t="shared" si="9"/>
        <v>349.25</v>
      </c>
      <c r="K18" s="54">
        <f>SUM(B18:J18)</f>
        <v>48919</v>
      </c>
    </row>
    <row r="19" spans="1:22" ht="13.15" customHeight="1" x14ac:dyDescent="0.2">
      <c r="A19" s="8" t="s">
        <v>20</v>
      </c>
      <c r="B19" s="26" t="s">
        <v>21</v>
      </c>
      <c r="C19" s="26" t="s">
        <v>22</v>
      </c>
      <c r="D19" s="27" t="s">
        <v>23</v>
      </c>
      <c r="E19" s="27" t="s">
        <v>24</v>
      </c>
      <c r="F19" s="27">
        <v>1</v>
      </c>
      <c r="G19" s="27" t="s">
        <v>25</v>
      </c>
      <c r="H19" s="27" t="s">
        <v>26</v>
      </c>
      <c r="I19" s="27" t="s">
        <v>27</v>
      </c>
      <c r="J19" s="27" t="s">
        <v>28</v>
      </c>
      <c r="K19" s="50"/>
    </row>
    <row r="20" spans="1:22" ht="3.6" hidden="1" customHeight="1" x14ac:dyDescent="0.2">
      <c r="A20" s="8"/>
      <c r="B20" s="26"/>
      <c r="C20" s="26"/>
      <c r="D20" s="27"/>
      <c r="E20" s="27"/>
      <c r="F20" s="27"/>
      <c r="G20" s="27"/>
      <c r="H20" s="27"/>
      <c r="I20" s="27"/>
      <c r="J20" s="27"/>
      <c r="K20" s="50"/>
    </row>
    <row r="21" spans="1:22" ht="17.45" customHeight="1" x14ac:dyDescent="0.25">
      <c r="A21" s="8" t="s">
        <v>107</v>
      </c>
      <c r="B21" s="28">
        <f>ROUND(B18/9*5,2)</f>
        <v>1.1100000000000001</v>
      </c>
      <c r="C21" s="28">
        <f>ROUND(C18/9*6,2)</f>
        <v>1115.5</v>
      </c>
      <c r="D21" s="28">
        <f>ROUND(D18/9*7,2)</f>
        <v>5677.78</v>
      </c>
      <c r="E21" s="28">
        <f>ROUND(E18/9*8,2)</f>
        <v>14362.44</v>
      </c>
      <c r="F21" s="28">
        <f>ROUND(F18/9*9,2)</f>
        <v>12816.5</v>
      </c>
      <c r="G21" s="28">
        <f>ROUND(G18/9*11,2)</f>
        <v>6583.5</v>
      </c>
      <c r="H21" s="28">
        <f>ROUND(H18/9*13,2)</f>
        <v>3469.19</v>
      </c>
      <c r="I21" s="28">
        <f>ROUND(I18/9*15,2)</f>
        <v>4720</v>
      </c>
      <c r="J21" s="28">
        <f>ROUND(J18/9*18,2)</f>
        <v>698.5</v>
      </c>
      <c r="K21" s="54">
        <f>SUM(B21:J21)</f>
        <v>49444.520000000004</v>
      </c>
    </row>
    <row r="22" spans="1:22" ht="25.5" customHeight="1" x14ac:dyDescent="0.2">
      <c r="A22" s="8" t="s">
        <v>108</v>
      </c>
      <c r="B22" s="83">
        <v>0</v>
      </c>
      <c r="C22" s="83">
        <v>557</v>
      </c>
      <c r="D22" s="83">
        <v>2346</v>
      </c>
      <c r="E22" s="83">
        <v>2877</v>
      </c>
      <c r="F22" s="83">
        <v>1000</v>
      </c>
      <c r="G22" s="83">
        <v>257</v>
      </c>
      <c r="H22" s="83">
        <v>27</v>
      </c>
      <c r="I22" s="83">
        <v>15</v>
      </c>
      <c r="J22" s="83">
        <v>0</v>
      </c>
      <c r="K22" s="54">
        <f>SUM(C22:J22)</f>
        <v>7079</v>
      </c>
    </row>
    <row r="23" spans="1:22" ht="25.15" customHeight="1" x14ac:dyDescent="0.25">
      <c r="A23" s="8" t="s">
        <v>89</v>
      </c>
      <c r="B23" s="55"/>
      <c r="C23" s="84"/>
      <c r="D23" s="84"/>
      <c r="E23" s="84"/>
      <c r="F23" s="84"/>
      <c r="G23" s="84"/>
      <c r="H23" s="84"/>
      <c r="I23" s="84"/>
      <c r="J23" s="84"/>
      <c r="K23" s="54">
        <f>SUM(C23:J23)</f>
        <v>0</v>
      </c>
      <c r="L23" s="32"/>
    </row>
    <row r="24" spans="1:22" ht="24.6" customHeight="1" x14ac:dyDescent="0.25">
      <c r="A24" s="8" t="s">
        <v>109</v>
      </c>
      <c r="B24" s="55"/>
      <c r="C24" s="51"/>
      <c r="D24" s="51"/>
      <c r="E24" s="51"/>
      <c r="F24" s="51"/>
      <c r="G24" s="51"/>
      <c r="H24" s="51"/>
      <c r="I24" s="51"/>
      <c r="J24" s="51"/>
      <c r="K24" s="54">
        <f>K21-K22+K23</f>
        <v>42365.520000000004</v>
      </c>
      <c r="M24" s="33"/>
    </row>
    <row r="25" spans="1:22" ht="15.6" customHeight="1" thickBot="1" x14ac:dyDescent="0.3">
      <c r="A25" s="34" t="s">
        <v>90</v>
      </c>
      <c r="B25" s="57"/>
      <c r="C25" s="58"/>
      <c r="D25" s="58"/>
      <c r="E25" s="58"/>
      <c r="F25" s="58"/>
      <c r="G25" s="58"/>
      <c r="H25" s="58"/>
      <c r="I25" s="58"/>
      <c r="J25" s="58"/>
      <c r="K25" s="59">
        <f>SUM(K24/100*97.5)</f>
        <v>41306.382000000005</v>
      </c>
      <c r="M25" s="82"/>
    </row>
    <row r="26" spans="1:22" x14ac:dyDescent="0.2">
      <c r="F26" s="32"/>
      <c r="G26" s="37"/>
      <c r="H26" s="33"/>
      <c r="J26" s="33"/>
      <c r="K26" s="60"/>
    </row>
    <row r="27" spans="1:22" ht="15.75" x14ac:dyDescent="0.25">
      <c r="A27" s="1" t="s">
        <v>80</v>
      </c>
      <c r="C27" s="61"/>
      <c r="D27" s="2" t="s">
        <v>32</v>
      </c>
      <c r="E27" s="61"/>
      <c r="F27" s="61"/>
      <c r="G27" s="61"/>
      <c r="H27" s="61"/>
      <c r="K27" s="62"/>
    </row>
    <row r="28" spans="1:22" ht="16.5" thickBot="1" x14ac:dyDescent="0.3">
      <c r="D28" s="1" t="s">
        <v>55</v>
      </c>
      <c r="K28" s="62"/>
    </row>
    <row r="29" spans="1:22" x14ac:dyDescent="0.2">
      <c r="A29" s="4" t="s">
        <v>0</v>
      </c>
      <c r="B29" s="5" t="s">
        <v>1</v>
      </c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3" t="s">
        <v>10</v>
      </c>
    </row>
    <row r="30" spans="1:22" x14ac:dyDescent="0.2">
      <c r="A30" s="8" t="s">
        <v>34</v>
      </c>
      <c r="B30" s="9"/>
      <c r="C30" s="10">
        <v>257</v>
      </c>
      <c r="D30" s="10">
        <v>415</v>
      </c>
      <c r="E30" s="10">
        <v>1405</v>
      </c>
      <c r="F30" s="10">
        <v>260</v>
      </c>
      <c r="G30" s="10">
        <v>133</v>
      </c>
      <c r="H30" s="10">
        <v>56</v>
      </c>
      <c r="I30" s="10">
        <v>8</v>
      </c>
      <c r="J30" s="10">
        <v>1</v>
      </c>
      <c r="K30" s="46">
        <f>SUM(B30:J30)</f>
        <v>2535</v>
      </c>
    </row>
    <row r="31" spans="1:22" x14ac:dyDescent="0.2">
      <c r="A31" s="8" t="s">
        <v>72</v>
      </c>
      <c r="B31" s="9"/>
      <c r="C31" s="77"/>
      <c r="D31" s="77"/>
      <c r="E31" s="77"/>
      <c r="F31" s="77"/>
      <c r="G31" s="77"/>
      <c r="H31" s="77"/>
      <c r="I31" s="77"/>
      <c r="J31" s="77"/>
      <c r="K31" s="48">
        <f>SUM(C31:J31)</f>
        <v>0</v>
      </c>
      <c r="M31" s="12" t="s">
        <v>44</v>
      </c>
      <c r="N31" s="12" t="s">
        <v>43</v>
      </c>
      <c r="O31" s="43"/>
      <c r="P31" s="12" t="s">
        <v>12</v>
      </c>
      <c r="Q31" s="15" t="s">
        <v>45</v>
      </c>
      <c r="R31" s="15" t="s">
        <v>43</v>
      </c>
      <c r="S31" s="43">
        <v>41958</v>
      </c>
    </row>
    <row r="32" spans="1:22" x14ac:dyDescent="0.2">
      <c r="A32" s="8" t="s">
        <v>83</v>
      </c>
      <c r="B32" s="9"/>
      <c r="C32" s="78"/>
      <c r="D32" s="78"/>
      <c r="E32" s="78"/>
      <c r="F32" s="78"/>
      <c r="G32" s="78"/>
      <c r="H32" s="78"/>
      <c r="I32" s="78"/>
      <c r="J32" s="78"/>
      <c r="K32" s="50">
        <f>SUM(B32:J32)</f>
        <v>0</v>
      </c>
      <c r="N32">
        <v>1</v>
      </c>
      <c r="O32">
        <v>12</v>
      </c>
      <c r="P32">
        <v>14</v>
      </c>
      <c r="Q32">
        <v>7</v>
      </c>
      <c r="R32">
        <v>2</v>
      </c>
      <c r="S32">
        <v>1</v>
      </c>
      <c r="T32">
        <v>0</v>
      </c>
      <c r="U32">
        <v>0</v>
      </c>
      <c r="V32">
        <f>SUM(N32:U32)</f>
        <v>37</v>
      </c>
    </row>
    <row r="33" spans="1:22" x14ac:dyDescent="0.2">
      <c r="A33" s="8" t="s">
        <v>84</v>
      </c>
      <c r="B33" s="9"/>
      <c r="C33" s="10">
        <f>N34</f>
        <v>1</v>
      </c>
      <c r="D33" s="10">
        <f t="shared" ref="D33:J33" si="10">O34</f>
        <v>13</v>
      </c>
      <c r="E33" s="10">
        <f t="shared" si="10"/>
        <v>15</v>
      </c>
      <c r="F33" s="10">
        <f t="shared" si="10"/>
        <v>7</v>
      </c>
      <c r="G33" s="10">
        <f t="shared" si="10"/>
        <v>2</v>
      </c>
      <c r="H33" s="10">
        <f t="shared" si="10"/>
        <v>1</v>
      </c>
      <c r="I33" s="10">
        <f t="shared" si="10"/>
        <v>0</v>
      </c>
      <c r="J33" s="10">
        <f t="shared" si="10"/>
        <v>0</v>
      </c>
      <c r="K33" s="46">
        <f>SUM(C33:J33)</f>
        <v>39</v>
      </c>
      <c r="N33" s="81">
        <v>0</v>
      </c>
      <c r="O33" s="81">
        <v>1</v>
      </c>
      <c r="P33" s="81">
        <v>1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>
        <f>SUM(N33:U33)</f>
        <v>2</v>
      </c>
    </row>
    <row r="34" spans="1:22" x14ac:dyDescent="0.2">
      <c r="A34" s="8" t="s">
        <v>13</v>
      </c>
      <c r="B34" s="9"/>
      <c r="C34" s="80">
        <v>93</v>
      </c>
      <c r="D34" s="80">
        <v>118</v>
      </c>
      <c r="E34" s="80">
        <v>171</v>
      </c>
      <c r="F34" s="80">
        <v>19</v>
      </c>
      <c r="G34" s="80">
        <v>9</v>
      </c>
      <c r="H34" s="80">
        <v>0</v>
      </c>
      <c r="I34" s="80">
        <v>0</v>
      </c>
      <c r="J34" s="80">
        <v>0</v>
      </c>
      <c r="K34" s="46">
        <f>SUM(C34:J34)</f>
        <v>410</v>
      </c>
      <c r="N34">
        <f>N32+N33</f>
        <v>1</v>
      </c>
      <c r="O34">
        <f t="shared" ref="O34:U34" si="11">O32+O33</f>
        <v>13</v>
      </c>
      <c r="P34">
        <f t="shared" si="11"/>
        <v>15</v>
      </c>
      <c r="Q34">
        <f t="shared" si="11"/>
        <v>7</v>
      </c>
      <c r="R34">
        <f t="shared" si="11"/>
        <v>2</v>
      </c>
      <c r="S34">
        <f t="shared" si="11"/>
        <v>1</v>
      </c>
      <c r="T34">
        <f t="shared" si="11"/>
        <v>0</v>
      </c>
      <c r="U34">
        <f t="shared" si="11"/>
        <v>0</v>
      </c>
    </row>
    <row r="35" spans="1:22" ht="22.5" x14ac:dyDescent="0.2">
      <c r="A35" s="8" t="s">
        <v>85</v>
      </c>
      <c r="B35" s="9"/>
      <c r="C35" s="14">
        <f>C30+C31+C32-C33-C34</f>
        <v>163</v>
      </c>
      <c r="D35" s="14">
        <f t="shared" ref="D35:J35" si="12">D30+D31+D32-D33-D34</f>
        <v>284</v>
      </c>
      <c r="E35" s="14">
        <f t="shared" si="12"/>
        <v>1219</v>
      </c>
      <c r="F35" s="14">
        <f t="shared" si="12"/>
        <v>234</v>
      </c>
      <c r="G35" s="14">
        <f t="shared" si="12"/>
        <v>122</v>
      </c>
      <c r="H35" s="14">
        <f t="shared" si="12"/>
        <v>55</v>
      </c>
      <c r="I35" s="14">
        <f t="shared" si="12"/>
        <v>8</v>
      </c>
      <c r="J35" s="14">
        <f t="shared" si="12"/>
        <v>1</v>
      </c>
      <c r="K35" s="46">
        <f>K30+K31+K32-K33-K34</f>
        <v>2086</v>
      </c>
    </row>
    <row r="36" spans="1:22" ht="22.5" x14ac:dyDescent="0.2">
      <c r="A36" s="8" t="s">
        <v>86</v>
      </c>
      <c r="B36" s="9"/>
      <c r="C36" s="14">
        <v>1</v>
      </c>
      <c r="D36" s="14">
        <v>0</v>
      </c>
      <c r="E36" s="14">
        <v>11</v>
      </c>
      <c r="F36" s="14">
        <v>1</v>
      </c>
      <c r="G36" s="14">
        <v>0</v>
      </c>
      <c r="H36" s="14">
        <v>1</v>
      </c>
      <c r="I36" s="14">
        <v>0</v>
      </c>
      <c r="J36" s="14">
        <v>1</v>
      </c>
      <c r="K36" s="50">
        <f>SUM(C36:J36)</f>
        <v>15</v>
      </c>
    </row>
    <row r="37" spans="1:22" ht="33.75" x14ac:dyDescent="0.2">
      <c r="A37" s="8" t="s">
        <v>15</v>
      </c>
      <c r="B37" s="16">
        <f t="shared" ref="B37:I37" si="13">C36</f>
        <v>1</v>
      </c>
      <c r="C37" s="16">
        <f t="shared" si="13"/>
        <v>0</v>
      </c>
      <c r="D37" s="16">
        <f t="shared" si="13"/>
        <v>11</v>
      </c>
      <c r="E37" s="16">
        <f t="shared" si="13"/>
        <v>1</v>
      </c>
      <c r="F37" s="16">
        <f t="shared" si="13"/>
        <v>0</v>
      </c>
      <c r="G37" s="16">
        <f t="shared" si="13"/>
        <v>1</v>
      </c>
      <c r="H37" s="16">
        <f t="shared" si="13"/>
        <v>0</v>
      </c>
      <c r="I37" s="16">
        <f t="shared" si="13"/>
        <v>1</v>
      </c>
      <c r="J37" s="9"/>
      <c r="K37" s="50">
        <f>SUM(B37:I37)</f>
        <v>15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22.5" x14ac:dyDescent="0.2">
      <c r="A38" s="8" t="s">
        <v>16</v>
      </c>
      <c r="B38" s="18">
        <f t="shared" ref="B38:K38" si="14">SUM(B35-B36+B37)</f>
        <v>1</v>
      </c>
      <c r="C38" s="18">
        <f t="shared" si="14"/>
        <v>162</v>
      </c>
      <c r="D38" s="18">
        <f t="shared" si="14"/>
        <v>295</v>
      </c>
      <c r="E38" s="18">
        <f t="shared" si="14"/>
        <v>1209</v>
      </c>
      <c r="F38" s="18">
        <f t="shared" si="14"/>
        <v>233</v>
      </c>
      <c r="G38" s="18">
        <f t="shared" si="14"/>
        <v>123</v>
      </c>
      <c r="H38" s="18">
        <f t="shared" si="14"/>
        <v>54</v>
      </c>
      <c r="I38" s="18">
        <f t="shared" si="14"/>
        <v>9</v>
      </c>
      <c r="J38" s="18">
        <f t="shared" si="14"/>
        <v>0</v>
      </c>
      <c r="K38" s="52">
        <f t="shared" si="14"/>
        <v>2086</v>
      </c>
    </row>
    <row r="39" spans="1:22" ht="22.5" x14ac:dyDescent="0.2">
      <c r="A39" s="8" t="s">
        <v>91</v>
      </c>
      <c r="B39" s="14">
        <v>0</v>
      </c>
      <c r="C39" s="20">
        <v>0</v>
      </c>
      <c r="D39" s="20">
        <v>1</v>
      </c>
      <c r="E39" s="20">
        <v>2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52">
        <f>SUM(B39:J39)</f>
        <v>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22.5" x14ac:dyDescent="0.2">
      <c r="A40" s="8" t="s">
        <v>87</v>
      </c>
      <c r="B40" s="14">
        <v>0</v>
      </c>
      <c r="C40" s="14">
        <f>129+2</f>
        <v>131</v>
      </c>
      <c r="D40" s="14">
        <f>230+3</f>
        <v>233</v>
      </c>
      <c r="E40" s="14">
        <f>377+15</f>
        <v>392</v>
      </c>
      <c r="F40" s="14">
        <f>63+4</f>
        <v>67</v>
      </c>
      <c r="G40" s="14">
        <f>31+2</f>
        <v>33</v>
      </c>
      <c r="H40" s="14">
        <f>10+0</f>
        <v>10</v>
      </c>
      <c r="I40" s="14">
        <f>1+1</f>
        <v>2</v>
      </c>
      <c r="J40" s="14">
        <v>0</v>
      </c>
      <c r="K40" s="52">
        <f>SUM(B40:J40)</f>
        <v>868</v>
      </c>
      <c r="L40" s="12"/>
      <c r="M40" s="12" t="s">
        <v>93</v>
      </c>
      <c r="N40">
        <v>0</v>
      </c>
      <c r="O40">
        <v>3</v>
      </c>
      <c r="P40">
        <v>15</v>
      </c>
      <c r="Q40">
        <v>0</v>
      </c>
      <c r="R40">
        <v>0</v>
      </c>
      <c r="S40">
        <v>1</v>
      </c>
      <c r="T40">
        <v>1</v>
      </c>
      <c r="U40">
        <v>0</v>
      </c>
      <c r="V40">
        <f>SUM(N40:U40)</f>
        <v>20</v>
      </c>
    </row>
    <row r="41" spans="1:22" ht="22.5" x14ac:dyDescent="0.2">
      <c r="A41" s="8" t="s">
        <v>88</v>
      </c>
      <c r="B41" s="21">
        <v>0</v>
      </c>
      <c r="C41" s="21">
        <f>N42</f>
        <v>0</v>
      </c>
      <c r="D41" s="21">
        <f t="shared" ref="D41:J41" si="15">O42</f>
        <v>3</v>
      </c>
      <c r="E41" s="21">
        <f t="shared" si="15"/>
        <v>15</v>
      </c>
      <c r="F41" s="21">
        <f t="shared" si="15"/>
        <v>0</v>
      </c>
      <c r="G41" s="21">
        <f t="shared" si="15"/>
        <v>0</v>
      </c>
      <c r="H41" s="21">
        <f t="shared" si="15"/>
        <v>1</v>
      </c>
      <c r="I41" s="21">
        <f t="shared" si="15"/>
        <v>1</v>
      </c>
      <c r="J41" s="21">
        <f t="shared" si="15"/>
        <v>0</v>
      </c>
      <c r="K41" s="53">
        <f>SUM(B41:J41)</f>
        <v>20</v>
      </c>
      <c r="L41" s="12"/>
      <c r="M41" s="12" t="s">
        <v>92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>
        <f>SUM(N41:U41)</f>
        <v>0</v>
      </c>
    </row>
    <row r="42" spans="1:22" x14ac:dyDescent="0.2">
      <c r="A42" s="8" t="s">
        <v>73</v>
      </c>
      <c r="B42" s="21">
        <v>0</v>
      </c>
      <c r="C42" s="21">
        <f t="shared" ref="C42:J42" si="16">C32</f>
        <v>0</v>
      </c>
      <c r="D42" s="21">
        <f t="shared" si="16"/>
        <v>0</v>
      </c>
      <c r="E42" s="21">
        <f t="shared" si="16"/>
        <v>0</v>
      </c>
      <c r="F42" s="21">
        <f t="shared" si="16"/>
        <v>0</v>
      </c>
      <c r="G42" s="21">
        <f t="shared" si="16"/>
        <v>0</v>
      </c>
      <c r="H42" s="21">
        <f t="shared" si="16"/>
        <v>0</v>
      </c>
      <c r="I42" s="21">
        <f t="shared" si="16"/>
        <v>0</v>
      </c>
      <c r="J42" s="21">
        <f t="shared" si="16"/>
        <v>0</v>
      </c>
      <c r="K42" s="53">
        <f>SUM(B42:J42)</f>
        <v>0</v>
      </c>
      <c r="N42">
        <f>N40+N41</f>
        <v>0</v>
      </c>
      <c r="O42">
        <f t="shared" ref="O42:U42" si="17">O40+O41</f>
        <v>3</v>
      </c>
      <c r="P42">
        <f t="shared" si="17"/>
        <v>15</v>
      </c>
      <c r="Q42">
        <f t="shared" si="17"/>
        <v>0</v>
      </c>
      <c r="R42">
        <f t="shared" si="17"/>
        <v>0</v>
      </c>
      <c r="S42">
        <f t="shared" si="17"/>
        <v>1</v>
      </c>
      <c r="T42">
        <f t="shared" si="17"/>
        <v>1</v>
      </c>
      <c r="U42">
        <f t="shared" si="17"/>
        <v>0</v>
      </c>
    </row>
    <row r="43" spans="1:22" x14ac:dyDescent="0.2">
      <c r="A43" s="8" t="s">
        <v>74</v>
      </c>
      <c r="B43" s="14">
        <v>0</v>
      </c>
      <c r="C43" s="21">
        <v>2</v>
      </c>
      <c r="D43" s="21">
        <v>1</v>
      </c>
      <c r="E43" s="21">
        <v>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52">
        <f>SUM(B43:J43)</f>
        <v>6</v>
      </c>
    </row>
    <row r="44" spans="1:22" ht="22.5" x14ac:dyDescent="0.2">
      <c r="A44" s="8" t="s">
        <v>75</v>
      </c>
      <c r="B44" s="14">
        <f>SUM(B38-B39-B40-B41-B42-B43)</f>
        <v>1</v>
      </c>
      <c r="C44" s="14">
        <f t="shared" ref="C44:K44" si="18">SUM(C38-C39-C40-C41-C42-C43)</f>
        <v>29</v>
      </c>
      <c r="D44" s="14">
        <f t="shared" si="18"/>
        <v>57</v>
      </c>
      <c r="E44" s="14">
        <f t="shared" si="18"/>
        <v>797</v>
      </c>
      <c r="F44" s="14">
        <f t="shared" si="18"/>
        <v>166</v>
      </c>
      <c r="G44" s="14">
        <f t="shared" si="18"/>
        <v>89</v>
      </c>
      <c r="H44" s="14">
        <f t="shared" si="18"/>
        <v>43</v>
      </c>
      <c r="I44" s="14">
        <f t="shared" si="18"/>
        <v>6</v>
      </c>
      <c r="J44" s="14">
        <f t="shared" si="18"/>
        <v>0</v>
      </c>
      <c r="K44" s="52">
        <f t="shared" si="18"/>
        <v>1188</v>
      </c>
    </row>
    <row r="45" spans="1:22" ht="33.75" x14ac:dyDescent="0.2">
      <c r="A45" s="8" t="s">
        <v>76</v>
      </c>
      <c r="B45" s="24">
        <f>SUM((B39*0.75)+(B40*0.75)+(B41*0.5)+(B42*0.5)+ (B43*1.5)+B44)</f>
        <v>1</v>
      </c>
      <c r="C45" s="24">
        <f t="shared" ref="C45:J45" si="19">SUM((C39*0.75)+(C40*0.75)+(C41*0.5)+(C42*0.5)+ (C43*1.5)+C44)</f>
        <v>130.25</v>
      </c>
      <c r="D45" s="24">
        <f t="shared" si="19"/>
        <v>235.5</v>
      </c>
      <c r="E45" s="24">
        <f t="shared" si="19"/>
        <v>1104.5</v>
      </c>
      <c r="F45" s="24">
        <f t="shared" si="19"/>
        <v>216.25</v>
      </c>
      <c r="G45" s="24">
        <f t="shared" si="19"/>
        <v>114.5</v>
      </c>
      <c r="H45" s="24">
        <f t="shared" si="19"/>
        <v>51</v>
      </c>
      <c r="I45" s="24">
        <f t="shared" si="19"/>
        <v>8</v>
      </c>
      <c r="J45" s="24">
        <f t="shared" si="19"/>
        <v>0</v>
      </c>
      <c r="K45" s="56">
        <f>SUM(B45:J45)</f>
        <v>1861</v>
      </c>
    </row>
    <row r="46" spans="1:22" x14ac:dyDescent="0.2">
      <c r="A46" s="8" t="s">
        <v>77</v>
      </c>
      <c r="B46" s="26" t="s">
        <v>21</v>
      </c>
      <c r="C46" s="26" t="s">
        <v>22</v>
      </c>
      <c r="D46" s="27" t="s">
        <v>23</v>
      </c>
      <c r="E46" s="27" t="s">
        <v>24</v>
      </c>
      <c r="F46" s="27">
        <v>1</v>
      </c>
      <c r="G46" s="27" t="s">
        <v>25</v>
      </c>
      <c r="H46" s="27" t="s">
        <v>26</v>
      </c>
      <c r="I46" s="27" t="s">
        <v>27</v>
      </c>
      <c r="J46" s="27" t="s">
        <v>28</v>
      </c>
      <c r="K46" s="50"/>
    </row>
    <row r="47" spans="1:22" x14ac:dyDescent="0.2">
      <c r="A47" s="8"/>
      <c r="B47" s="26"/>
      <c r="C47" s="26"/>
      <c r="D47" s="27"/>
      <c r="E47" s="27"/>
      <c r="F47" s="27"/>
      <c r="G47" s="27"/>
      <c r="H47" s="27"/>
      <c r="I47" s="27"/>
      <c r="J47" s="27"/>
      <c r="K47" s="50"/>
    </row>
    <row r="48" spans="1:22" ht="15" x14ac:dyDescent="0.25">
      <c r="A48" s="8" t="s">
        <v>78</v>
      </c>
      <c r="B48" s="28">
        <f>ROUND(B45/9*5,2)</f>
        <v>0.56000000000000005</v>
      </c>
      <c r="C48" s="28">
        <f>ROUND(C45/9*6,2)</f>
        <v>86.83</v>
      </c>
      <c r="D48" s="28">
        <f>ROUND(D45/9*7,2)</f>
        <v>183.17</v>
      </c>
      <c r="E48" s="28">
        <f>ROUND(E45/9*8,2)</f>
        <v>981.78</v>
      </c>
      <c r="F48" s="28">
        <f>ROUND(F45*F46,2)</f>
        <v>216.25</v>
      </c>
      <c r="G48" s="28">
        <f>ROUND(G45/9*11,2)</f>
        <v>139.94</v>
      </c>
      <c r="H48" s="28">
        <f>ROUND(H45/9*13,2)</f>
        <v>73.67</v>
      </c>
      <c r="I48" s="28">
        <f>ROUND(I45/9*15,2)</f>
        <v>13.33</v>
      </c>
      <c r="J48" s="28">
        <f>ROUND(J45/9*18,2)</f>
        <v>0</v>
      </c>
      <c r="K48" s="54">
        <f>SUM(B48:J48)</f>
        <v>1695.53</v>
      </c>
      <c r="L48" s="32"/>
    </row>
    <row r="49" spans="1:22" ht="23.25" x14ac:dyDescent="0.25">
      <c r="A49" s="8" t="s">
        <v>89</v>
      </c>
      <c r="B49" s="55"/>
      <c r="C49" s="51"/>
      <c r="D49" s="51"/>
      <c r="E49" s="51"/>
      <c r="F49" s="51"/>
      <c r="G49" s="51"/>
      <c r="H49" s="51"/>
      <c r="I49" s="51"/>
      <c r="J49" s="51"/>
      <c r="K49" s="56">
        <v>0</v>
      </c>
      <c r="L49" s="37"/>
    </row>
    <row r="50" spans="1:22" ht="23.25" x14ac:dyDescent="0.25">
      <c r="A50" s="8" t="s">
        <v>79</v>
      </c>
      <c r="B50" s="55"/>
      <c r="C50" s="51"/>
      <c r="D50" s="51"/>
      <c r="E50" s="51"/>
      <c r="F50" s="51"/>
      <c r="G50" s="51"/>
      <c r="H50" s="51"/>
      <c r="I50" s="51"/>
      <c r="J50" s="51"/>
      <c r="K50" s="54">
        <f>SUM(K48+K49)</f>
        <v>1695.53</v>
      </c>
    </row>
    <row r="51" spans="1:22" ht="16.5" thickBot="1" x14ac:dyDescent="0.3">
      <c r="A51" s="34" t="s">
        <v>90</v>
      </c>
      <c r="B51" s="57"/>
      <c r="C51" s="58"/>
      <c r="D51" s="58"/>
      <c r="E51" s="58"/>
      <c r="F51" s="58"/>
      <c r="G51" s="58"/>
      <c r="H51" s="58"/>
      <c r="I51" s="58"/>
      <c r="J51" s="58"/>
      <c r="K51" s="59">
        <f>SUM(K50/100*97.5)</f>
        <v>1653.14175</v>
      </c>
    </row>
    <row r="52" spans="1:22" ht="15.75" x14ac:dyDescent="0.25">
      <c r="A52" s="1" t="s">
        <v>80</v>
      </c>
      <c r="D52" s="2" t="s">
        <v>32</v>
      </c>
      <c r="K52" s="62"/>
    </row>
    <row r="53" spans="1:22" ht="16.5" thickBot="1" x14ac:dyDescent="0.3">
      <c r="D53" s="1" t="s">
        <v>56</v>
      </c>
      <c r="K53" s="62"/>
    </row>
    <row r="54" spans="1:22" x14ac:dyDescent="0.2">
      <c r="A54" s="4" t="s">
        <v>0</v>
      </c>
      <c r="B54" s="5" t="s">
        <v>1</v>
      </c>
      <c r="C54" s="6" t="s">
        <v>2</v>
      </c>
      <c r="D54" s="6" t="s">
        <v>3</v>
      </c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  <c r="K54" s="63" t="s">
        <v>10</v>
      </c>
    </row>
    <row r="55" spans="1:22" x14ac:dyDescent="0.2">
      <c r="A55" s="8" t="s">
        <v>34</v>
      </c>
      <c r="B55" s="9"/>
      <c r="C55" s="10">
        <v>84</v>
      </c>
      <c r="D55" s="10">
        <v>56</v>
      </c>
      <c r="E55" s="10">
        <v>297</v>
      </c>
      <c r="F55" s="10">
        <v>780</v>
      </c>
      <c r="G55" s="10">
        <v>153</v>
      </c>
      <c r="H55" s="10">
        <v>25</v>
      </c>
      <c r="I55" s="10">
        <v>71</v>
      </c>
      <c r="J55" s="10">
        <v>3</v>
      </c>
      <c r="K55" s="46">
        <f>SUM(B55:J55)</f>
        <v>1469</v>
      </c>
    </row>
    <row r="56" spans="1:22" x14ac:dyDescent="0.2">
      <c r="A56" s="8" t="s">
        <v>72</v>
      </c>
      <c r="B56" s="9"/>
      <c r="C56" s="77"/>
      <c r="D56" s="77"/>
      <c r="E56" s="77"/>
      <c r="F56" s="77"/>
      <c r="G56" s="77"/>
      <c r="H56" s="77"/>
      <c r="I56" s="77"/>
      <c r="J56" s="77"/>
      <c r="K56" s="48">
        <f>SUM(C56:J56)</f>
        <v>0</v>
      </c>
      <c r="M56" s="12" t="s">
        <v>44</v>
      </c>
      <c r="N56" s="12" t="s">
        <v>43</v>
      </c>
      <c r="O56" s="43"/>
      <c r="P56" s="12" t="s">
        <v>12</v>
      </c>
      <c r="Q56" s="15" t="s">
        <v>45</v>
      </c>
      <c r="R56" s="15" t="s">
        <v>43</v>
      </c>
      <c r="S56" s="43">
        <v>41958</v>
      </c>
    </row>
    <row r="57" spans="1:22" x14ac:dyDescent="0.2">
      <c r="A57" s="8" t="s">
        <v>83</v>
      </c>
      <c r="B57" s="9"/>
      <c r="C57" s="78"/>
      <c r="D57" s="78"/>
      <c r="E57" s="78"/>
      <c r="F57" s="78"/>
      <c r="G57" s="78"/>
      <c r="H57" s="78"/>
      <c r="I57" s="78"/>
      <c r="J57" s="78"/>
      <c r="K57" s="50">
        <f>SUM(B57:J57)</f>
        <v>0</v>
      </c>
      <c r="N57">
        <v>3</v>
      </c>
      <c r="O57">
        <v>1</v>
      </c>
      <c r="P57">
        <v>11</v>
      </c>
      <c r="Q57">
        <v>11</v>
      </c>
      <c r="R57">
        <v>0</v>
      </c>
      <c r="S57">
        <v>0</v>
      </c>
      <c r="T57">
        <v>0</v>
      </c>
      <c r="U57">
        <v>0</v>
      </c>
      <c r="V57">
        <f>SUM(N57:U57)</f>
        <v>26</v>
      </c>
    </row>
    <row r="58" spans="1:22" x14ac:dyDescent="0.2">
      <c r="A58" s="8" t="s">
        <v>84</v>
      </c>
      <c r="B58" s="9"/>
      <c r="C58" s="10">
        <f>N59</f>
        <v>3</v>
      </c>
      <c r="D58" s="10">
        <f t="shared" ref="D58:J58" si="20">O59</f>
        <v>1</v>
      </c>
      <c r="E58" s="10">
        <f t="shared" si="20"/>
        <v>11</v>
      </c>
      <c r="F58" s="10">
        <f t="shared" si="20"/>
        <v>12</v>
      </c>
      <c r="G58" s="10">
        <f t="shared" si="20"/>
        <v>1</v>
      </c>
      <c r="H58" s="10">
        <f t="shared" si="20"/>
        <v>0</v>
      </c>
      <c r="I58" s="10">
        <f t="shared" si="20"/>
        <v>0</v>
      </c>
      <c r="J58" s="10">
        <f t="shared" si="20"/>
        <v>0</v>
      </c>
      <c r="K58" s="46">
        <f>SUM(C58:J58)</f>
        <v>28</v>
      </c>
      <c r="N58" s="81">
        <v>0</v>
      </c>
      <c r="O58" s="81">
        <v>0</v>
      </c>
      <c r="P58" s="81">
        <v>0</v>
      </c>
      <c r="Q58" s="81">
        <v>1</v>
      </c>
      <c r="R58" s="81">
        <v>1</v>
      </c>
      <c r="S58" s="81">
        <v>0</v>
      </c>
      <c r="T58" s="81">
        <v>0</v>
      </c>
      <c r="U58" s="81">
        <v>0</v>
      </c>
      <c r="V58">
        <f>SUM(N58:U58)</f>
        <v>2</v>
      </c>
    </row>
    <row r="59" spans="1:22" x14ac:dyDescent="0.2">
      <c r="A59" s="8" t="s">
        <v>13</v>
      </c>
      <c r="B59" s="9"/>
      <c r="C59" s="80">
        <v>12</v>
      </c>
      <c r="D59" s="80">
        <v>7</v>
      </c>
      <c r="E59" s="80">
        <v>37</v>
      </c>
      <c r="F59" s="80">
        <v>54</v>
      </c>
      <c r="G59" s="80">
        <v>5</v>
      </c>
      <c r="H59" s="80">
        <v>0</v>
      </c>
      <c r="I59" s="80">
        <v>0</v>
      </c>
      <c r="J59" s="80">
        <v>0</v>
      </c>
      <c r="K59" s="46">
        <f>SUM(C59:J59)</f>
        <v>115</v>
      </c>
      <c r="L59" s="12"/>
      <c r="N59">
        <f>N57+N58</f>
        <v>3</v>
      </c>
      <c r="O59">
        <f t="shared" ref="O59:U59" si="21">O57+O58</f>
        <v>1</v>
      </c>
      <c r="P59">
        <f t="shared" si="21"/>
        <v>11</v>
      </c>
      <c r="Q59">
        <f t="shared" si="21"/>
        <v>12</v>
      </c>
      <c r="R59">
        <f t="shared" si="21"/>
        <v>1</v>
      </c>
      <c r="S59">
        <f t="shared" si="21"/>
        <v>0</v>
      </c>
      <c r="T59">
        <f t="shared" si="21"/>
        <v>0</v>
      </c>
      <c r="U59">
        <f t="shared" si="21"/>
        <v>0</v>
      </c>
    </row>
    <row r="60" spans="1:22" ht="22.5" x14ac:dyDescent="0.2">
      <c r="A60" s="8" t="s">
        <v>85</v>
      </c>
      <c r="B60" s="9"/>
      <c r="C60" s="14">
        <f>C55+C56+C57-C58-C59</f>
        <v>69</v>
      </c>
      <c r="D60" s="14">
        <f t="shared" ref="D60:J60" si="22">D55+D56+D57-D58-D59</f>
        <v>48</v>
      </c>
      <c r="E60" s="14">
        <f t="shared" si="22"/>
        <v>249</v>
      </c>
      <c r="F60" s="14">
        <f t="shared" si="22"/>
        <v>714</v>
      </c>
      <c r="G60" s="14">
        <f t="shared" si="22"/>
        <v>147</v>
      </c>
      <c r="H60" s="14">
        <f t="shared" si="22"/>
        <v>25</v>
      </c>
      <c r="I60" s="14">
        <f t="shared" si="22"/>
        <v>71</v>
      </c>
      <c r="J60" s="14">
        <f t="shared" si="22"/>
        <v>3</v>
      </c>
      <c r="K60" s="46">
        <f>K55+K56+K57-K58-K59</f>
        <v>1326</v>
      </c>
    </row>
    <row r="61" spans="1:22" ht="22.5" x14ac:dyDescent="0.2">
      <c r="A61" s="8" t="s">
        <v>86</v>
      </c>
      <c r="B61" s="9"/>
      <c r="C61" s="14">
        <v>1</v>
      </c>
      <c r="D61" s="14">
        <v>0</v>
      </c>
      <c r="E61" s="14">
        <v>2</v>
      </c>
      <c r="F61" s="14">
        <v>6</v>
      </c>
      <c r="G61" s="14">
        <v>0</v>
      </c>
      <c r="H61" s="14">
        <v>0</v>
      </c>
      <c r="I61" s="14">
        <v>2</v>
      </c>
      <c r="J61" s="14">
        <v>0</v>
      </c>
      <c r="K61" s="50">
        <f>SUM(C61:J61)</f>
        <v>11</v>
      </c>
    </row>
    <row r="62" spans="1:22" ht="33.75" x14ac:dyDescent="0.2">
      <c r="A62" s="8" t="s">
        <v>15</v>
      </c>
      <c r="B62" s="16">
        <f t="shared" ref="B62:I62" si="23">C61</f>
        <v>1</v>
      </c>
      <c r="C62" s="16">
        <f t="shared" si="23"/>
        <v>0</v>
      </c>
      <c r="D62" s="16">
        <f t="shared" si="23"/>
        <v>2</v>
      </c>
      <c r="E62" s="16">
        <f t="shared" si="23"/>
        <v>6</v>
      </c>
      <c r="F62" s="16">
        <f t="shared" si="23"/>
        <v>0</v>
      </c>
      <c r="G62" s="16">
        <f t="shared" si="23"/>
        <v>0</v>
      </c>
      <c r="H62" s="16">
        <f t="shared" si="23"/>
        <v>2</v>
      </c>
      <c r="I62" s="16">
        <f t="shared" si="23"/>
        <v>0</v>
      </c>
      <c r="J62" s="9"/>
      <c r="K62" s="50">
        <f>SUM(B62:I62)</f>
        <v>11</v>
      </c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22.5" x14ac:dyDescent="0.2">
      <c r="A63" s="8" t="s">
        <v>16</v>
      </c>
      <c r="B63" s="18">
        <f t="shared" ref="B63:K63" si="24">SUM(B60-B61+B62)</f>
        <v>1</v>
      </c>
      <c r="C63" s="18">
        <f t="shared" si="24"/>
        <v>68</v>
      </c>
      <c r="D63" s="18">
        <f t="shared" si="24"/>
        <v>50</v>
      </c>
      <c r="E63" s="18">
        <f t="shared" si="24"/>
        <v>253</v>
      </c>
      <c r="F63" s="18">
        <f t="shared" si="24"/>
        <v>708</v>
      </c>
      <c r="G63" s="18">
        <f t="shared" si="24"/>
        <v>147</v>
      </c>
      <c r="H63" s="18">
        <f t="shared" si="24"/>
        <v>27</v>
      </c>
      <c r="I63" s="18">
        <f t="shared" si="24"/>
        <v>69</v>
      </c>
      <c r="J63" s="18">
        <f t="shared" si="24"/>
        <v>3</v>
      </c>
      <c r="K63" s="52">
        <f t="shared" si="24"/>
        <v>1326</v>
      </c>
    </row>
    <row r="64" spans="1:22" ht="22.5" x14ac:dyDescent="0.2">
      <c r="A64" s="8" t="s">
        <v>91</v>
      </c>
      <c r="B64" s="14">
        <v>0</v>
      </c>
      <c r="C64" s="20">
        <v>0</v>
      </c>
      <c r="D64" s="20">
        <v>0</v>
      </c>
      <c r="E64" s="20">
        <v>0</v>
      </c>
      <c r="F64" s="20">
        <v>0</v>
      </c>
      <c r="G64" s="20">
        <v>1</v>
      </c>
      <c r="H64" s="20">
        <v>0</v>
      </c>
      <c r="I64" s="20">
        <v>0</v>
      </c>
      <c r="J64" s="20">
        <v>0</v>
      </c>
      <c r="K64" s="52">
        <f>SUM(B64:J64)</f>
        <v>1</v>
      </c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22.5" x14ac:dyDescent="0.2">
      <c r="A65" s="8" t="s">
        <v>87</v>
      </c>
      <c r="B65" s="14">
        <v>0</v>
      </c>
      <c r="C65" s="14">
        <f>42+1</f>
        <v>43</v>
      </c>
      <c r="D65" s="14">
        <f>23+2</f>
        <v>25</v>
      </c>
      <c r="E65" s="14">
        <f>100+12</f>
        <v>112</v>
      </c>
      <c r="F65" s="14">
        <f>207+16</f>
        <v>223</v>
      </c>
      <c r="G65" s="14">
        <f>36+2</f>
        <v>38</v>
      </c>
      <c r="H65" s="14">
        <f>6+1</f>
        <v>7</v>
      </c>
      <c r="I65" s="14">
        <f>14+1</f>
        <v>15</v>
      </c>
      <c r="J65" s="14">
        <f>0+0</f>
        <v>0</v>
      </c>
      <c r="K65" s="52">
        <f>SUM(B65:J65)</f>
        <v>463</v>
      </c>
      <c r="M65" s="12" t="s">
        <v>93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f>SUM(N65:U65)</f>
        <v>0</v>
      </c>
    </row>
    <row r="66" spans="1:22" ht="22.5" x14ac:dyDescent="0.2">
      <c r="A66" s="8" t="s">
        <v>88</v>
      </c>
      <c r="B66" s="21">
        <v>0</v>
      </c>
      <c r="C66" s="21">
        <f>N67</f>
        <v>0</v>
      </c>
      <c r="D66" s="21">
        <f t="shared" ref="D66:J66" si="25">O67</f>
        <v>0</v>
      </c>
      <c r="E66" s="21">
        <f t="shared" si="25"/>
        <v>0</v>
      </c>
      <c r="F66" s="21">
        <f t="shared" si="25"/>
        <v>0</v>
      </c>
      <c r="G66" s="21">
        <f t="shared" si="25"/>
        <v>0</v>
      </c>
      <c r="H66" s="21">
        <f t="shared" si="25"/>
        <v>0</v>
      </c>
      <c r="I66" s="21">
        <f t="shared" si="25"/>
        <v>0</v>
      </c>
      <c r="J66" s="21">
        <f t="shared" si="25"/>
        <v>0</v>
      </c>
      <c r="K66" s="53">
        <f>SUM(B66:J66)</f>
        <v>0</v>
      </c>
      <c r="M66" s="12" t="s">
        <v>92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>
        <f>SUM(N66:U66)</f>
        <v>0</v>
      </c>
    </row>
    <row r="67" spans="1:22" x14ac:dyDescent="0.2">
      <c r="A67" s="8" t="s">
        <v>73</v>
      </c>
      <c r="B67" s="21">
        <v>0</v>
      </c>
      <c r="C67" s="21">
        <f t="shared" ref="C67:J67" si="26">C57</f>
        <v>0</v>
      </c>
      <c r="D67" s="21">
        <f t="shared" si="26"/>
        <v>0</v>
      </c>
      <c r="E67" s="21">
        <f t="shared" si="26"/>
        <v>0</v>
      </c>
      <c r="F67" s="21">
        <f t="shared" si="26"/>
        <v>0</v>
      </c>
      <c r="G67" s="21">
        <f t="shared" si="26"/>
        <v>0</v>
      </c>
      <c r="H67" s="21">
        <f t="shared" si="26"/>
        <v>0</v>
      </c>
      <c r="I67" s="21">
        <f t="shared" si="26"/>
        <v>0</v>
      </c>
      <c r="J67" s="21">
        <f t="shared" si="26"/>
        <v>0</v>
      </c>
      <c r="K67" s="53">
        <f>SUM(B67:J67)</f>
        <v>0</v>
      </c>
      <c r="N67">
        <f>N65+N66</f>
        <v>0</v>
      </c>
      <c r="O67">
        <f t="shared" ref="O67:U67" si="27">O65+O66</f>
        <v>0</v>
      </c>
      <c r="P67">
        <f t="shared" si="27"/>
        <v>0</v>
      </c>
      <c r="Q67">
        <f t="shared" si="27"/>
        <v>0</v>
      </c>
      <c r="R67">
        <f t="shared" si="27"/>
        <v>0</v>
      </c>
      <c r="S67">
        <f t="shared" si="27"/>
        <v>0</v>
      </c>
      <c r="T67">
        <f t="shared" si="27"/>
        <v>0</v>
      </c>
      <c r="U67">
        <f t="shared" si="27"/>
        <v>0</v>
      </c>
    </row>
    <row r="68" spans="1:22" x14ac:dyDescent="0.2">
      <c r="A68" s="8" t="s">
        <v>74</v>
      </c>
      <c r="B68" s="14">
        <v>0</v>
      </c>
      <c r="C68" s="21">
        <v>0</v>
      </c>
      <c r="D68" s="21">
        <v>4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52">
        <f>SUM(B68:J68)</f>
        <v>5</v>
      </c>
    </row>
    <row r="69" spans="1:22" ht="22.5" x14ac:dyDescent="0.2">
      <c r="A69" s="8" t="s">
        <v>75</v>
      </c>
      <c r="B69" s="14">
        <f>SUM(B63-B64-B65-B66-B67-B68)</f>
        <v>1</v>
      </c>
      <c r="C69" s="14">
        <f t="shared" ref="C69:K69" si="28">SUM(C63-C64-C65-C66-C67-C68)</f>
        <v>25</v>
      </c>
      <c r="D69" s="14">
        <f t="shared" si="28"/>
        <v>21</v>
      </c>
      <c r="E69" s="14">
        <f t="shared" si="28"/>
        <v>140</v>
      </c>
      <c r="F69" s="14">
        <f t="shared" si="28"/>
        <v>485</v>
      </c>
      <c r="G69" s="14">
        <f t="shared" si="28"/>
        <v>108</v>
      </c>
      <c r="H69" s="14">
        <f t="shared" si="28"/>
        <v>20</v>
      </c>
      <c r="I69" s="14">
        <f t="shared" si="28"/>
        <v>54</v>
      </c>
      <c r="J69" s="14">
        <f t="shared" si="28"/>
        <v>3</v>
      </c>
      <c r="K69" s="52">
        <f t="shared" si="28"/>
        <v>857</v>
      </c>
    </row>
    <row r="70" spans="1:22" ht="33.75" x14ac:dyDescent="0.2">
      <c r="A70" s="8" t="s">
        <v>76</v>
      </c>
      <c r="B70" s="24">
        <f>SUM((B64*0.75)+(B65*0.75)+(B66*0.5)+(B67*0.5)+ (B68*1.5)+B69)</f>
        <v>1</v>
      </c>
      <c r="C70" s="24">
        <f t="shared" ref="C70:J70" si="29">SUM((C64*0.75)+(C65*0.75)+(C66*0.5)+(C67*0.5)+ (C68*1.5)+C69)</f>
        <v>57.25</v>
      </c>
      <c r="D70" s="24">
        <f t="shared" si="29"/>
        <v>45.75</v>
      </c>
      <c r="E70" s="24">
        <f t="shared" si="29"/>
        <v>225.5</v>
      </c>
      <c r="F70" s="24">
        <f t="shared" si="29"/>
        <v>652.25</v>
      </c>
      <c r="G70" s="24">
        <f t="shared" si="29"/>
        <v>137.25</v>
      </c>
      <c r="H70" s="24">
        <f t="shared" si="29"/>
        <v>25.25</v>
      </c>
      <c r="I70" s="24">
        <f t="shared" si="29"/>
        <v>65.25</v>
      </c>
      <c r="J70" s="24">
        <f t="shared" si="29"/>
        <v>3</v>
      </c>
      <c r="K70" s="54">
        <f>SUM(B70:J70)</f>
        <v>1212.5</v>
      </c>
    </row>
    <row r="71" spans="1:22" x14ac:dyDescent="0.2">
      <c r="A71" s="8" t="s">
        <v>77</v>
      </c>
      <c r="B71" s="26" t="s">
        <v>21</v>
      </c>
      <c r="C71" s="26" t="s">
        <v>22</v>
      </c>
      <c r="D71" s="27" t="s">
        <v>23</v>
      </c>
      <c r="E71" s="27" t="s">
        <v>24</v>
      </c>
      <c r="F71" s="27">
        <v>1</v>
      </c>
      <c r="G71" s="27" t="s">
        <v>25</v>
      </c>
      <c r="H71" s="27" t="s">
        <v>26</v>
      </c>
      <c r="I71" s="27" t="s">
        <v>27</v>
      </c>
      <c r="J71" s="27" t="s">
        <v>28</v>
      </c>
      <c r="K71" s="50"/>
    </row>
    <row r="72" spans="1:22" x14ac:dyDescent="0.2">
      <c r="A72" s="8"/>
      <c r="B72" s="26"/>
      <c r="C72" s="26"/>
      <c r="D72" s="27"/>
      <c r="E72" s="27"/>
      <c r="F72" s="27"/>
      <c r="G72" s="27"/>
      <c r="H72" s="27"/>
      <c r="I72" s="27"/>
      <c r="J72" s="27"/>
      <c r="K72" s="50"/>
    </row>
    <row r="73" spans="1:22" ht="15" x14ac:dyDescent="0.25">
      <c r="A73" s="8" t="s">
        <v>78</v>
      </c>
      <c r="B73" s="28">
        <f>ROUND(B70/9*5,2)</f>
        <v>0.56000000000000005</v>
      </c>
      <c r="C73" s="28">
        <f>ROUND(C70/9*6,2)</f>
        <v>38.17</v>
      </c>
      <c r="D73" s="28">
        <f>ROUND(D70/9*7,2)</f>
        <v>35.58</v>
      </c>
      <c r="E73" s="28">
        <f>ROUND(E70/9*8,2)</f>
        <v>200.44</v>
      </c>
      <c r="F73" s="28">
        <f>ROUND(F70*F71,2)</f>
        <v>652.25</v>
      </c>
      <c r="G73" s="28">
        <f>ROUND(G70/9*11,2)</f>
        <v>167.75</v>
      </c>
      <c r="H73" s="28">
        <f>ROUND(H70/9*13,2)</f>
        <v>36.47</v>
      </c>
      <c r="I73" s="28">
        <f>ROUND(I70/9*15,2)</f>
        <v>108.75</v>
      </c>
      <c r="J73" s="28">
        <f>ROUND(J70/9*18,2)</f>
        <v>6</v>
      </c>
      <c r="K73" s="54">
        <f>SUM(B73:J73)</f>
        <v>1245.97</v>
      </c>
    </row>
    <row r="74" spans="1:22" ht="23.25" x14ac:dyDescent="0.25">
      <c r="A74" s="8" t="s">
        <v>89</v>
      </c>
      <c r="B74" s="55"/>
      <c r="C74" s="51"/>
      <c r="D74" s="51"/>
      <c r="E74" s="51"/>
      <c r="F74" s="51"/>
      <c r="G74" s="51"/>
      <c r="H74" s="51"/>
      <c r="I74" s="51"/>
      <c r="J74" s="51"/>
      <c r="K74" s="56">
        <v>0</v>
      </c>
    </row>
    <row r="75" spans="1:22" ht="23.25" x14ac:dyDescent="0.25">
      <c r="A75" s="8" t="s">
        <v>79</v>
      </c>
      <c r="B75" s="55"/>
      <c r="C75" s="51"/>
      <c r="D75" s="51"/>
      <c r="E75" s="51"/>
      <c r="F75" s="51"/>
      <c r="G75" s="51"/>
      <c r="H75" s="51"/>
      <c r="I75" s="51"/>
      <c r="J75" s="51"/>
      <c r="K75" s="54">
        <f>SUM(K73+K74)</f>
        <v>1245.97</v>
      </c>
    </row>
    <row r="76" spans="1:22" ht="16.5" thickBot="1" x14ac:dyDescent="0.3">
      <c r="A76" s="34" t="s">
        <v>90</v>
      </c>
      <c r="B76" s="57"/>
      <c r="C76" s="58"/>
      <c r="D76" s="58"/>
      <c r="E76" s="58"/>
      <c r="F76" s="58"/>
      <c r="G76" s="58"/>
      <c r="H76" s="58"/>
      <c r="I76" s="58"/>
      <c r="J76" s="58"/>
      <c r="K76" s="59">
        <f>K75/100*97.5</f>
        <v>1214.8207500000001</v>
      </c>
    </row>
    <row r="77" spans="1:22" ht="15.75" x14ac:dyDescent="0.25">
      <c r="A77" s="1" t="s">
        <v>80</v>
      </c>
      <c r="D77" s="2" t="s">
        <v>32</v>
      </c>
      <c r="K77" s="62"/>
    </row>
    <row r="78" spans="1:22" ht="16.5" thickBot="1" x14ac:dyDescent="0.3">
      <c r="C78" s="1" t="s">
        <v>81</v>
      </c>
      <c r="K78" s="62"/>
    </row>
    <row r="79" spans="1:22" x14ac:dyDescent="0.2">
      <c r="A79" s="4" t="s">
        <v>0</v>
      </c>
      <c r="B79" s="64" t="s">
        <v>1</v>
      </c>
      <c r="C79" s="65" t="s">
        <v>2</v>
      </c>
      <c r="D79" s="65" t="s">
        <v>3</v>
      </c>
      <c r="E79" s="65" t="s">
        <v>4</v>
      </c>
      <c r="F79" s="65" t="s">
        <v>5</v>
      </c>
      <c r="G79" s="65" t="s">
        <v>6</v>
      </c>
      <c r="H79" s="65" t="s">
        <v>7</v>
      </c>
      <c r="I79" s="65" t="s">
        <v>8</v>
      </c>
      <c r="J79" s="65" t="s">
        <v>9</v>
      </c>
      <c r="K79" s="66" t="s">
        <v>10</v>
      </c>
    </row>
    <row r="80" spans="1:22" x14ac:dyDescent="0.2">
      <c r="A80" s="8" t="s">
        <v>34</v>
      </c>
      <c r="B80" s="9"/>
      <c r="C80" s="10">
        <v>15</v>
      </c>
      <c r="D80" s="10">
        <v>281</v>
      </c>
      <c r="E80" s="10">
        <v>274</v>
      </c>
      <c r="F80" s="10">
        <v>990</v>
      </c>
      <c r="G80" s="10">
        <v>103</v>
      </c>
      <c r="H80" s="10">
        <v>90</v>
      </c>
      <c r="I80" s="10">
        <v>21</v>
      </c>
      <c r="J80" s="10">
        <v>0</v>
      </c>
      <c r="K80" s="46">
        <f>SUM(B80:J80)</f>
        <v>1774</v>
      </c>
    </row>
    <row r="81" spans="1:22" x14ac:dyDescent="0.2">
      <c r="A81" s="8" t="s">
        <v>72</v>
      </c>
      <c r="B81" s="9"/>
      <c r="C81" s="77"/>
      <c r="D81" s="77"/>
      <c r="E81" s="77"/>
      <c r="F81" s="77"/>
      <c r="G81" s="77"/>
      <c r="H81" s="77"/>
      <c r="I81" s="77"/>
      <c r="J81" s="77"/>
      <c r="K81" s="48">
        <f>SUM(C81:J81)</f>
        <v>0</v>
      </c>
      <c r="M81" s="12" t="s">
        <v>44</v>
      </c>
      <c r="N81" s="12" t="s">
        <v>43</v>
      </c>
      <c r="O81" s="43"/>
      <c r="P81" s="12" t="s">
        <v>12</v>
      </c>
      <c r="Q81" s="15" t="s">
        <v>45</v>
      </c>
      <c r="R81" s="15" t="s">
        <v>43</v>
      </c>
      <c r="S81" s="43">
        <v>41958</v>
      </c>
    </row>
    <row r="82" spans="1:22" x14ac:dyDescent="0.2">
      <c r="A82" s="8" t="s">
        <v>83</v>
      </c>
      <c r="B82" s="9"/>
      <c r="C82" s="78"/>
      <c r="D82" s="78"/>
      <c r="E82" s="78"/>
      <c r="F82" s="78"/>
      <c r="G82" s="78"/>
      <c r="H82" s="78"/>
      <c r="I82" s="78"/>
      <c r="J82" s="78"/>
      <c r="K82" s="50">
        <f>SUM(B82:J82)</f>
        <v>0</v>
      </c>
      <c r="N82">
        <v>3</v>
      </c>
      <c r="O82">
        <v>4</v>
      </c>
      <c r="P82">
        <v>7</v>
      </c>
      <c r="Q82">
        <v>16</v>
      </c>
      <c r="R82">
        <v>1</v>
      </c>
      <c r="S82">
        <v>2</v>
      </c>
      <c r="T82">
        <v>0</v>
      </c>
      <c r="U82">
        <v>0</v>
      </c>
      <c r="V82">
        <f>SUM(N82:U82)</f>
        <v>33</v>
      </c>
    </row>
    <row r="83" spans="1:22" x14ac:dyDescent="0.2">
      <c r="A83" s="8" t="s">
        <v>84</v>
      </c>
      <c r="B83" s="9"/>
      <c r="C83" s="10">
        <f>N84</f>
        <v>3</v>
      </c>
      <c r="D83" s="10">
        <f t="shared" ref="D83:J83" si="30">O84</f>
        <v>5</v>
      </c>
      <c r="E83" s="10">
        <f t="shared" si="30"/>
        <v>7</v>
      </c>
      <c r="F83" s="10">
        <f t="shared" si="30"/>
        <v>16</v>
      </c>
      <c r="G83" s="10">
        <f t="shared" si="30"/>
        <v>1</v>
      </c>
      <c r="H83" s="10">
        <f t="shared" si="30"/>
        <v>2</v>
      </c>
      <c r="I83" s="10">
        <f t="shared" si="30"/>
        <v>0</v>
      </c>
      <c r="J83" s="10">
        <f t="shared" si="30"/>
        <v>0</v>
      </c>
      <c r="K83" s="46">
        <f>SUM(C83:J83)</f>
        <v>34</v>
      </c>
      <c r="N83" s="81">
        <v>0</v>
      </c>
      <c r="O83" s="81">
        <v>1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>
        <f>SUM(N83:U83)</f>
        <v>1</v>
      </c>
    </row>
    <row r="84" spans="1:22" x14ac:dyDescent="0.2">
      <c r="A84" s="8" t="s">
        <v>13</v>
      </c>
      <c r="B84" s="9"/>
      <c r="C84" s="80">
        <v>0</v>
      </c>
      <c r="D84" s="80">
        <v>85</v>
      </c>
      <c r="E84" s="80">
        <v>42</v>
      </c>
      <c r="F84" s="80">
        <v>54</v>
      </c>
      <c r="G84" s="80">
        <v>4</v>
      </c>
      <c r="H84" s="80">
        <v>2</v>
      </c>
      <c r="I84" s="80">
        <v>0</v>
      </c>
      <c r="J84" s="80">
        <v>0</v>
      </c>
      <c r="K84" s="46">
        <f>SUM(C84:J84)</f>
        <v>187</v>
      </c>
      <c r="L84" s="12"/>
      <c r="N84">
        <f>N82+N83</f>
        <v>3</v>
      </c>
      <c r="O84">
        <f t="shared" ref="O84:U84" si="31">O82+O83</f>
        <v>5</v>
      </c>
      <c r="P84">
        <f t="shared" si="31"/>
        <v>7</v>
      </c>
      <c r="Q84">
        <f t="shared" si="31"/>
        <v>16</v>
      </c>
      <c r="R84">
        <f t="shared" si="31"/>
        <v>1</v>
      </c>
      <c r="S84">
        <f t="shared" si="31"/>
        <v>2</v>
      </c>
      <c r="T84">
        <f t="shared" si="31"/>
        <v>0</v>
      </c>
      <c r="U84">
        <f t="shared" si="31"/>
        <v>0</v>
      </c>
    </row>
    <row r="85" spans="1:22" ht="22.5" x14ac:dyDescent="0.2">
      <c r="A85" s="8" t="s">
        <v>85</v>
      </c>
      <c r="B85" s="9"/>
      <c r="C85" s="14">
        <f>C80+C81+C82-C83-C84</f>
        <v>12</v>
      </c>
      <c r="D85" s="14">
        <f t="shared" ref="D85:J85" si="32">D80+D81+D82-D83-D84</f>
        <v>191</v>
      </c>
      <c r="E85" s="14">
        <f t="shared" si="32"/>
        <v>225</v>
      </c>
      <c r="F85" s="14">
        <f t="shared" si="32"/>
        <v>920</v>
      </c>
      <c r="G85" s="14">
        <f t="shared" si="32"/>
        <v>98</v>
      </c>
      <c r="H85" s="14">
        <f t="shared" si="32"/>
        <v>86</v>
      </c>
      <c r="I85" s="14">
        <f t="shared" si="32"/>
        <v>21</v>
      </c>
      <c r="J85" s="14">
        <f t="shared" si="32"/>
        <v>0</v>
      </c>
      <c r="K85" s="46">
        <f>K80+K81+K82-K83-K84</f>
        <v>1553</v>
      </c>
    </row>
    <row r="86" spans="1:22" ht="22.5" x14ac:dyDescent="0.2">
      <c r="A86" s="8" t="s">
        <v>86</v>
      </c>
      <c r="B86" s="9"/>
      <c r="C86" s="14">
        <v>0</v>
      </c>
      <c r="D86" s="14">
        <v>0</v>
      </c>
      <c r="E86" s="14"/>
      <c r="F86" s="14"/>
      <c r="G86" s="14"/>
      <c r="H86" s="14"/>
      <c r="I86" s="14">
        <v>0</v>
      </c>
      <c r="J86" s="14">
        <v>0</v>
      </c>
      <c r="K86" s="50">
        <f>SUM(C86:J86)</f>
        <v>0</v>
      </c>
    </row>
    <row r="87" spans="1:22" ht="33.75" x14ac:dyDescent="0.2">
      <c r="A87" s="8" t="s">
        <v>15</v>
      </c>
      <c r="B87" s="16">
        <f t="shared" ref="B87:I87" si="33">C86</f>
        <v>0</v>
      </c>
      <c r="C87" s="16">
        <f t="shared" si="33"/>
        <v>0</v>
      </c>
      <c r="D87" s="16">
        <f t="shared" si="33"/>
        <v>0</v>
      </c>
      <c r="E87" s="16">
        <f t="shared" si="33"/>
        <v>0</v>
      </c>
      <c r="F87" s="16">
        <f t="shared" si="33"/>
        <v>0</v>
      </c>
      <c r="G87" s="16">
        <f t="shared" si="33"/>
        <v>0</v>
      </c>
      <c r="H87" s="16">
        <f t="shared" si="33"/>
        <v>0</v>
      </c>
      <c r="I87" s="16">
        <f t="shared" si="33"/>
        <v>0</v>
      </c>
      <c r="J87" s="9"/>
      <c r="K87" s="50">
        <f>SUM(B87:I87)</f>
        <v>0</v>
      </c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22.5" x14ac:dyDescent="0.2">
      <c r="A88" s="8" t="s">
        <v>16</v>
      </c>
      <c r="B88" s="18">
        <f t="shared" ref="B88:K88" si="34">SUM(B85-B86+B87)</f>
        <v>0</v>
      </c>
      <c r="C88" s="18">
        <f t="shared" si="34"/>
        <v>12</v>
      </c>
      <c r="D88" s="18">
        <f t="shared" si="34"/>
        <v>191</v>
      </c>
      <c r="E88" s="18">
        <f t="shared" si="34"/>
        <v>225</v>
      </c>
      <c r="F88" s="18">
        <f t="shared" si="34"/>
        <v>920</v>
      </c>
      <c r="G88" s="18">
        <f t="shared" si="34"/>
        <v>98</v>
      </c>
      <c r="H88" s="18">
        <f t="shared" si="34"/>
        <v>86</v>
      </c>
      <c r="I88" s="18">
        <f t="shared" si="34"/>
        <v>21</v>
      </c>
      <c r="J88" s="18">
        <f t="shared" si="34"/>
        <v>0</v>
      </c>
      <c r="K88" s="52">
        <f t="shared" si="34"/>
        <v>1553</v>
      </c>
    </row>
    <row r="89" spans="1:22" ht="22.5" x14ac:dyDescent="0.2">
      <c r="A89" s="8" t="s">
        <v>91</v>
      </c>
      <c r="B89" s="14">
        <v>0</v>
      </c>
      <c r="C89" s="20">
        <v>0</v>
      </c>
      <c r="D89" s="20">
        <v>0</v>
      </c>
      <c r="E89" s="20">
        <v>1</v>
      </c>
      <c r="F89" s="20">
        <v>2</v>
      </c>
      <c r="G89" s="20">
        <v>0</v>
      </c>
      <c r="H89" s="20">
        <v>0</v>
      </c>
      <c r="I89" s="20">
        <v>0</v>
      </c>
      <c r="J89" s="20">
        <f>0+0</f>
        <v>0</v>
      </c>
      <c r="K89" s="52">
        <f>SUM(B89:J89)</f>
        <v>3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22.5" x14ac:dyDescent="0.2">
      <c r="A90" s="8" t="s">
        <v>87</v>
      </c>
      <c r="B90" s="14">
        <v>0</v>
      </c>
      <c r="C90" s="14">
        <f>11+0</f>
        <v>11</v>
      </c>
      <c r="D90" s="14">
        <f>161+2</f>
        <v>163</v>
      </c>
      <c r="E90" s="14">
        <f>93+7</f>
        <v>100</v>
      </c>
      <c r="F90" s="14">
        <f>200+11</f>
        <v>211</v>
      </c>
      <c r="G90" s="14">
        <f>19+2</f>
        <v>21</v>
      </c>
      <c r="H90" s="14">
        <f>14+2</f>
        <v>16</v>
      </c>
      <c r="I90" s="14">
        <f>3+0</f>
        <v>3</v>
      </c>
      <c r="J90" s="14">
        <f>0+0</f>
        <v>0</v>
      </c>
      <c r="K90" s="52">
        <f>SUM(B90:J90)</f>
        <v>525</v>
      </c>
      <c r="M90" s="12" t="s">
        <v>93</v>
      </c>
      <c r="N90">
        <v>0</v>
      </c>
      <c r="O90">
        <v>0</v>
      </c>
      <c r="P90">
        <v>1</v>
      </c>
      <c r="Q90">
        <v>0</v>
      </c>
      <c r="R90">
        <v>1</v>
      </c>
      <c r="S90">
        <v>0</v>
      </c>
      <c r="T90">
        <v>0</v>
      </c>
      <c r="U90">
        <v>0</v>
      </c>
      <c r="V90">
        <f>SUM(N90:U90)</f>
        <v>2</v>
      </c>
    </row>
    <row r="91" spans="1:22" ht="22.5" x14ac:dyDescent="0.2">
      <c r="A91" s="8" t="s">
        <v>88</v>
      </c>
      <c r="B91" s="21">
        <v>0</v>
      </c>
      <c r="C91" s="21">
        <f>N92</f>
        <v>0</v>
      </c>
      <c r="D91" s="21">
        <f t="shared" ref="D91:J91" si="35">O92</f>
        <v>0</v>
      </c>
      <c r="E91" s="21">
        <f t="shared" si="35"/>
        <v>1</v>
      </c>
      <c r="F91" s="21">
        <f t="shared" si="35"/>
        <v>0</v>
      </c>
      <c r="G91" s="21">
        <f t="shared" si="35"/>
        <v>1</v>
      </c>
      <c r="H91" s="21">
        <f t="shared" si="35"/>
        <v>0</v>
      </c>
      <c r="I91" s="21">
        <f t="shared" si="35"/>
        <v>0</v>
      </c>
      <c r="J91" s="21">
        <f t="shared" si="35"/>
        <v>0</v>
      </c>
      <c r="K91" s="53">
        <f>SUM(B91:J91)</f>
        <v>2</v>
      </c>
      <c r="M91" s="12" t="s">
        <v>92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>
        <f>SUM(N91:U91)</f>
        <v>0</v>
      </c>
    </row>
    <row r="92" spans="1:22" x14ac:dyDescent="0.2">
      <c r="A92" s="8" t="s">
        <v>73</v>
      </c>
      <c r="B92" s="21">
        <v>0</v>
      </c>
      <c r="C92" s="21">
        <f t="shared" ref="C92:J92" si="36">C82</f>
        <v>0</v>
      </c>
      <c r="D92" s="21">
        <f t="shared" si="36"/>
        <v>0</v>
      </c>
      <c r="E92" s="21">
        <f t="shared" si="36"/>
        <v>0</v>
      </c>
      <c r="F92" s="21">
        <f t="shared" si="36"/>
        <v>0</v>
      </c>
      <c r="G92" s="21">
        <f t="shared" si="36"/>
        <v>0</v>
      </c>
      <c r="H92" s="21">
        <f t="shared" si="36"/>
        <v>0</v>
      </c>
      <c r="I92" s="21">
        <f t="shared" si="36"/>
        <v>0</v>
      </c>
      <c r="J92" s="21">
        <f t="shared" si="36"/>
        <v>0</v>
      </c>
      <c r="K92" s="53">
        <f>SUM(B92:J92)</f>
        <v>0</v>
      </c>
      <c r="N92">
        <f>N90+N91</f>
        <v>0</v>
      </c>
      <c r="O92">
        <f t="shared" ref="O92:U92" si="37">O90+O91</f>
        <v>0</v>
      </c>
      <c r="P92">
        <f t="shared" si="37"/>
        <v>1</v>
      </c>
      <c r="Q92">
        <f t="shared" si="37"/>
        <v>0</v>
      </c>
      <c r="R92">
        <f t="shared" si="37"/>
        <v>1</v>
      </c>
      <c r="S92">
        <f t="shared" si="37"/>
        <v>0</v>
      </c>
      <c r="T92">
        <f t="shared" si="37"/>
        <v>0</v>
      </c>
      <c r="U92">
        <f t="shared" si="37"/>
        <v>0</v>
      </c>
    </row>
    <row r="93" spans="1:22" x14ac:dyDescent="0.2">
      <c r="A93" s="8" t="s">
        <v>74</v>
      </c>
      <c r="B93" s="14">
        <v>0</v>
      </c>
      <c r="C93" s="21">
        <v>0</v>
      </c>
      <c r="D93" s="21">
        <v>4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52">
        <f>SUM(B93:J93)</f>
        <v>5</v>
      </c>
    </row>
    <row r="94" spans="1:22" ht="22.5" x14ac:dyDescent="0.2">
      <c r="A94" s="8" t="s">
        <v>75</v>
      </c>
      <c r="B94" s="14">
        <f>SUM(B88-B89-B90-B91-B92-B93)</f>
        <v>0</v>
      </c>
      <c r="C94" s="14">
        <f t="shared" ref="C94:K94" si="38">SUM(C88-C89-C90-C91-C92-C93)</f>
        <v>1</v>
      </c>
      <c r="D94" s="14">
        <f t="shared" si="38"/>
        <v>24</v>
      </c>
      <c r="E94" s="14">
        <f t="shared" si="38"/>
        <v>122</v>
      </c>
      <c r="F94" s="14">
        <f t="shared" si="38"/>
        <v>707</v>
      </c>
      <c r="G94" s="14">
        <f t="shared" si="38"/>
        <v>76</v>
      </c>
      <c r="H94" s="14">
        <f t="shared" si="38"/>
        <v>70</v>
      </c>
      <c r="I94" s="14">
        <f t="shared" si="38"/>
        <v>18</v>
      </c>
      <c r="J94" s="14">
        <f t="shared" si="38"/>
        <v>0</v>
      </c>
      <c r="K94" s="52">
        <f t="shared" si="38"/>
        <v>1018</v>
      </c>
    </row>
    <row r="95" spans="1:22" ht="33.75" x14ac:dyDescent="0.2">
      <c r="A95" s="8" t="s">
        <v>76</v>
      </c>
      <c r="B95" s="24">
        <f>SUM((B89*0.75)+(B90*0.75)+(B91*0.5)+(B92*0.5)+ (B93*1.5)+B94)</f>
        <v>0</v>
      </c>
      <c r="C95" s="24">
        <f t="shared" ref="C95:J95" si="39">SUM((C89*0.75)+(C90*0.75)+(C91*0.5)+(C92*0.5)+ (C93*1.5)+C94)</f>
        <v>9.25</v>
      </c>
      <c r="D95" s="24">
        <f t="shared" si="39"/>
        <v>152.25</v>
      </c>
      <c r="E95" s="24">
        <f t="shared" si="39"/>
        <v>199.75</v>
      </c>
      <c r="F95" s="24">
        <f t="shared" si="39"/>
        <v>866.75</v>
      </c>
      <c r="G95" s="24">
        <f t="shared" si="39"/>
        <v>92.25</v>
      </c>
      <c r="H95" s="24">
        <f t="shared" si="39"/>
        <v>82</v>
      </c>
      <c r="I95" s="24">
        <f t="shared" si="39"/>
        <v>20.25</v>
      </c>
      <c r="J95" s="24">
        <f t="shared" si="39"/>
        <v>0</v>
      </c>
      <c r="K95" s="54">
        <f>SUM(B95:J95)</f>
        <v>1422.5</v>
      </c>
    </row>
    <row r="96" spans="1:22" x14ac:dyDescent="0.2">
      <c r="A96" s="8" t="s">
        <v>77</v>
      </c>
      <c r="B96" s="26" t="s">
        <v>21</v>
      </c>
      <c r="C96" s="26" t="s">
        <v>22</v>
      </c>
      <c r="D96" s="27" t="s">
        <v>23</v>
      </c>
      <c r="E96" s="27" t="s">
        <v>24</v>
      </c>
      <c r="F96" s="27">
        <v>1</v>
      </c>
      <c r="G96" s="27" t="s">
        <v>25</v>
      </c>
      <c r="H96" s="27" t="s">
        <v>26</v>
      </c>
      <c r="I96" s="27" t="s">
        <v>27</v>
      </c>
      <c r="J96" s="27" t="s">
        <v>28</v>
      </c>
      <c r="K96" s="50"/>
    </row>
    <row r="97" spans="1:22" x14ac:dyDescent="0.2">
      <c r="A97" s="8"/>
      <c r="B97" s="26"/>
      <c r="C97" s="26"/>
      <c r="D97" s="27"/>
      <c r="E97" s="27"/>
      <c r="F97" s="27"/>
      <c r="G97" s="27"/>
      <c r="H97" s="27"/>
      <c r="I97" s="27"/>
      <c r="J97" s="27"/>
      <c r="K97" s="50"/>
    </row>
    <row r="98" spans="1:22" ht="15" x14ac:dyDescent="0.25">
      <c r="A98" s="8" t="s">
        <v>78</v>
      </c>
      <c r="B98" s="28">
        <f>ROUND(B95/9*5,2)</f>
        <v>0</v>
      </c>
      <c r="C98" s="28">
        <f>ROUND(C95/9*6,2)</f>
        <v>6.17</v>
      </c>
      <c r="D98" s="28">
        <f>ROUND(D95/9*7,2)</f>
        <v>118.42</v>
      </c>
      <c r="E98" s="28">
        <f>ROUND(E95/9*8,2)</f>
        <v>177.56</v>
      </c>
      <c r="F98" s="28">
        <f>ROUND(F95*F96,2)</f>
        <v>866.75</v>
      </c>
      <c r="G98" s="28">
        <f>ROUND(G95/9*11,2)</f>
        <v>112.75</v>
      </c>
      <c r="H98" s="28">
        <f>ROUND(H95/9*13,2)</f>
        <v>118.44</v>
      </c>
      <c r="I98" s="28">
        <f>ROUND(I95/9*15,2)</f>
        <v>33.75</v>
      </c>
      <c r="J98" s="28">
        <f>ROUND(J95/9*18,2)</f>
        <v>0</v>
      </c>
      <c r="K98" s="54">
        <f>SUM(B98:J98)</f>
        <v>1433.8400000000001</v>
      </c>
    </row>
    <row r="99" spans="1:22" ht="23.25" x14ac:dyDescent="0.25">
      <c r="A99" s="8" t="s">
        <v>89</v>
      </c>
      <c r="B99" s="55"/>
      <c r="C99" s="51"/>
      <c r="D99" s="51"/>
      <c r="E99" s="51"/>
      <c r="F99" s="51"/>
      <c r="G99" s="51"/>
      <c r="H99" s="51"/>
      <c r="I99" s="51"/>
      <c r="J99" s="51"/>
      <c r="K99" s="56">
        <v>0</v>
      </c>
    </row>
    <row r="100" spans="1:22" ht="23.25" x14ac:dyDescent="0.25">
      <c r="A100" s="8" t="s">
        <v>79</v>
      </c>
      <c r="B100" s="55"/>
      <c r="C100" s="51"/>
      <c r="D100" s="51"/>
      <c r="E100" s="51"/>
      <c r="F100" s="51"/>
      <c r="G100" s="51"/>
      <c r="H100" s="51"/>
      <c r="I100" s="51"/>
      <c r="J100" s="51"/>
      <c r="K100" s="54">
        <f>SUM(K98+K99)</f>
        <v>1433.8400000000001</v>
      </c>
    </row>
    <row r="101" spans="1:22" ht="16.5" thickBot="1" x14ac:dyDescent="0.3">
      <c r="A101" s="34" t="s">
        <v>90</v>
      </c>
      <c r="B101" s="57"/>
      <c r="C101" s="58"/>
      <c r="D101" s="58"/>
      <c r="E101" s="58"/>
      <c r="F101" s="58"/>
      <c r="G101" s="58"/>
      <c r="H101" s="58"/>
      <c r="I101" s="58"/>
      <c r="J101" s="58"/>
      <c r="K101" s="59">
        <f>SUM(K100/100*97.5)</f>
        <v>1397.9940000000001</v>
      </c>
    </row>
    <row r="102" spans="1:22" ht="15.75" x14ac:dyDescent="0.25">
      <c r="A102" s="1" t="s">
        <v>80</v>
      </c>
      <c r="D102" s="2" t="s">
        <v>32</v>
      </c>
      <c r="K102" s="62"/>
    </row>
    <row r="103" spans="1:22" ht="16.5" thickBot="1" x14ac:dyDescent="0.3">
      <c r="D103" s="1" t="s">
        <v>58</v>
      </c>
      <c r="K103" s="62"/>
    </row>
    <row r="104" spans="1:22" x14ac:dyDescent="0.2">
      <c r="A104" s="4" t="s">
        <v>0</v>
      </c>
      <c r="B104" s="5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6" t="s">
        <v>6</v>
      </c>
      <c r="H104" s="6" t="s">
        <v>7</v>
      </c>
      <c r="I104" s="6" t="s">
        <v>8</v>
      </c>
      <c r="J104" s="6" t="s">
        <v>9</v>
      </c>
      <c r="K104" s="63" t="s">
        <v>10</v>
      </c>
    </row>
    <row r="105" spans="1:22" x14ac:dyDescent="0.2">
      <c r="A105" s="8" t="s">
        <v>34</v>
      </c>
      <c r="B105" s="67"/>
      <c r="C105" s="10">
        <v>279</v>
      </c>
      <c r="D105" s="10">
        <v>1278</v>
      </c>
      <c r="E105" s="10">
        <v>2952</v>
      </c>
      <c r="F105" s="10">
        <v>448</v>
      </c>
      <c r="G105" s="10">
        <v>46</v>
      </c>
      <c r="H105" s="10">
        <v>1</v>
      </c>
      <c r="I105" s="10">
        <v>0</v>
      </c>
      <c r="J105" s="10">
        <v>2</v>
      </c>
      <c r="K105" s="46">
        <f>SUM(B105:J105)</f>
        <v>5006</v>
      </c>
    </row>
    <row r="106" spans="1:22" x14ac:dyDescent="0.2">
      <c r="A106" s="8" t="s">
        <v>72</v>
      </c>
      <c r="B106" s="67"/>
      <c r="C106" s="68"/>
      <c r="D106" s="68"/>
      <c r="E106" s="68"/>
      <c r="F106" s="68"/>
      <c r="G106" s="68"/>
      <c r="H106" s="68"/>
      <c r="I106" s="68"/>
      <c r="J106" s="68"/>
      <c r="K106" s="46">
        <f>SUM(C106:J106)</f>
        <v>0</v>
      </c>
      <c r="M106" s="12" t="s">
        <v>44</v>
      </c>
      <c r="N106" s="12" t="s">
        <v>43</v>
      </c>
      <c r="O106" s="43"/>
      <c r="P106" s="12" t="s">
        <v>12</v>
      </c>
      <c r="Q106" s="15" t="s">
        <v>45</v>
      </c>
      <c r="R106" s="15" t="s">
        <v>43</v>
      </c>
      <c r="S106" s="43">
        <v>41958</v>
      </c>
    </row>
    <row r="107" spans="1:22" x14ac:dyDescent="0.2">
      <c r="A107" s="8" t="s">
        <v>83</v>
      </c>
      <c r="B107" s="67"/>
      <c r="C107" s="69"/>
      <c r="D107" s="69"/>
      <c r="E107" s="69"/>
      <c r="F107" s="69"/>
      <c r="G107" s="69"/>
      <c r="H107" s="69"/>
      <c r="I107" s="69"/>
      <c r="J107" s="69"/>
      <c r="K107" s="46">
        <f>SUM(B107:J107)</f>
        <v>0</v>
      </c>
      <c r="N107">
        <v>3</v>
      </c>
      <c r="O107">
        <v>22</v>
      </c>
      <c r="P107">
        <v>21</v>
      </c>
      <c r="Q107">
        <v>4</v>
      </c>
      <c r="R107">
        <v>0</v>
      </c>
      <c r="S107">
        <v>0</v>
      </c>
      <c r="T107">
        <v>0</v>
      </c>
      <c r="U107">
        <v>0</v>
      </c>
      <c r="V107">
        <f>SUM(N107:U107)</f>
        <v>50</v>
      </c>
    </row>
    <row r="108" spans="1:22" x14ac:dyDescent="0.2">
      <c r="A108" s="8" t="s">
        <v>84</v>
      </c>
      <c r="B108" s="67"/>
      <c r="C108" s="10">
        <f>N109</f>
        <v>3</v>
      </c>
      <c r="D108" s="10">
        <f t="shared" ref="D108:J108" si="40">O109</f>
        <v>23</v>
      </c>
      <c r="E108" s="10">
        <f t="shared" si="40"/>
        <v>23</v>
      </c>
      <c r="F108" s="10">
        <f t="shared" si="40"/>
        <v>4</v>
      </c>
      <c r="G108" s="10">
        <f t="shared" si="40"/>
        <v>0</v>
      </c>
      <c r="H108" s="10">
        <f t="shared" si="40"/>
        <v>0</v>
      </c>
      <c r="I108" s="10">
        <f t="shared" si="40"/>
        <v>0</v>
      </c>
      <c r="J108" s="10">
        <f t="shared" si="40"/>
        <v>0</v>
      </c>
      <c r="K108" s="46">
        <f>SUM(C108:J108)</f>
        <v>53</v>
      </c>
      <c r="N108" s="81">
        <v>0</v>
      </c>
      <c r="O108" s="81">
        <v>1</v>
      </c>
      <c r="P108" s="81">
        <v>2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>
        <f>SUM(N108:U108)</f>
        <v>3</v>
      </c>
    </row>
    <row r="109" spans="1:22" x14ac:dyDescent="0.2">
      <c r="A109" s="8" t="s">
        <v>13</v>
      </c>
      <c r="B109" s="67"/>
      <c r="C109" s="80">
        <v>134</v>
      </c>
      <c r="D109" s="80">
        <v>456</v>
      </c>
      <c r="E109" s="80">
        <v>583</v>
      </c>
      <c r="F109" s="80">
        <v>98</v>
      </c>
      <c r="G109" s="80">
        <v>15</v>
      </c>
      <c r="H109" s="80">
        <v>1</v>
      </c>
      <c r="I109" s="80">
        <v>0</v>
      </c>
      <c r="J109" s="80">
        <v>0</v>
      </c>
      <c r="K109" s="46">
        <f>SUM(C109:J109)</f>
        <v>1287</v>
      </c>
      <c r="L109" s="12"/>
      <c r="N109">
        <f>N107+N108</f>
        <v>3</v>
      </c>
      <c r="O109">
        <f t="shared" ref="O109:U109" si="41">O107+O108</f>
        <v>23</v>
      </c>
      <c r="P109">
        <f t="shared" si="41"/>
        <v>23</v>
      </c>
      <c r="Q109">
        <f t="shared" si="41"/>
        <v>4</v>
      </c>
      <c r="R109">
        <f t="shared" si="41"/>
        <v>0</v>
      </c>
      <c r="S109">
        <f t="shared" si="41"/>
        <v>0</v>
      </c>
      <c r="T109">
        <f t="shared" si="41"/>
        <v>0</v>
      </c>
      <c r="U109">
        <f t="shared" si="41"/>
        <v>0</v>
      </c>
    </row>
    <row r="110" spans="1:22" ht="22.5" x14ac:dyDescent="0.2">
      <c r="A110" s="8" t="s">
        <v>85</v>
      </c>
      <c r="B110" s="67"/>
      <c r="C110" s="79">
        <f>C105+C106+C107-C108-C109</f>
        <v>142</v>
      </c>
      <c r="D110" s="79">
        <f t="shared" ref="D110:J110" si="42">D105+D106+D107-D108-D109</f>
        <v>799</v>
      </c>
      <c r="E110" s="14">
        <f t="shared" si="42"/>
        <v>2346</v>
      </c>
      <c r="F110" s="79">
        <f t="shared" si="42"/>
        <v>346</v>
      </c>
      <c r="G110" s="79">
        <f t="shared" si="42"/>
        <v>31</v>
      </c>
      <c r="H110" s="79">
        <f t="shared" si="42"/>
        <v>0</v>
      </c>
      <c r="I110" s="79">
        <f t="shared" si="42"/>
        <v>0</v>
      </c>
      <c r="J110" s="79">
        <f t="shared" si="42"/>
        <v>2</v>
      </c>
      <c r="K110" s="46">
        <f>K105+K106+K107-K108-K109</f>
        <v>3666</v>
      </c>
    </row>
    <row r="111" spans="1:22" ht="22.5" x14ac:dyDescent="0.2">
      <c r="A111" s="8" t="s">
        <v>86</v>
      </c>
      <c r="B111" s="67"/>
      <c r="C111" s="14">
        <v>0</v>
      </c>
      <c r="D111" s="14">
        <v>3</v>
      </c>
      <c r="E111" s="14">
        <v>15</v>
      </c>
      <c r="F111" s="14">
        <v>5</v>
      </c>
      <c r="G111" s="14">
        <v>4</v>
      </c>
      <c r="H111" s="14">
        <v>0</v>
      </c>
      <c r="I111" s="14">
        <v>0</v>
      </c>
      <c r="J111" s="14">
        <v>1</v>
      </c>
      <c r="K111" s="46">
        <f>SUM(C111:J111)</f>
        <v>28</v>
      </c>
    </row>
    <row r="112" spans="1:22" ht="33.75" x14ac:dyDescent="0.2">
      <c r="A112" s="8" t="s">
        <v>15</v>
      </c>
      <c r="B112" s="14">
        <f t="shared" ref="B112:I112" si="43">C111</f>
        <v>0</v>
      </c>
      <c r="C112" s="14">
        <f t="shared" si="43"/>
        <v>3</v>
      </c>
      <c r="D112" s="14">
        <f t="shared" si="43"/>
        <v>15</v>
      </c>
      <c r="E112" s="14">
        <f t="shared" si="43"/>
        <v>5</v>
      </c>
      <c r="F112" s="14">
        <f t="shared" si="43"/>
        <v>4</v>
      </c>
      <c r="G112" s="14">
        <f t="shared" si="43"/>
        <v>0</v>
      </c>
      <c r="H112" s="14">
        <f t="shared" si="43"/>
        <v>0</v>
      </c>
      <c r="I112" s="14">
        <f t="shared" si="43"/>
        <v>1</v>
      </c>
      <c r="J112" s="67"/>
      <c r="K112" s="46">
        <f>SUM(B112:I112)</f>
        <v>28</v>
      </c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ht="22.5" x14ac:dyDescent="0.2">
      <c r="A113" s="8" t="s">
        <v>16</v>
      </c>
      <c r="B113" s="14">
        <f t="shared" ref="B113:K113" si="44">SUM(B110-B111+B112)</f>
        <v>0</v>
      </c>
      <c r="C113" s="14">
        <f t="shared" si="44"/>
        <v>145</v>
      </c>
      <c r="D113" s="14">
        <f t="shared" si="44"/>
        <v>811</v>
      </c>
      <c r="E113" s="14">
        <f t="shared" si="44"/>
        <v>2336</v>
      </c>
      <c r="F113" s="14">
        <f t="shared" si="44"/>
        <v>345</v>
      </c>
      <c r="G113" s="14">
        <f t="shared" si="44"/>
        <v>27</v>
      </c>
      <c r="H113" s="14">
        <f t="shared" si="44"/>
        <v>0</v>
      </c>
      <c r="I113" s="14">
        <f t="shared" si="44"/>
        <v>1</v>
      </c>
      <c r="J113" s="14">
        <f t="shared" si="44"/>
        <v>1</v>
      </c>
      <c r="K113" s="46">
        <f t="shared" si="44"/>
        <v>3666</v>
      </c>
    </row>
    <row r="114" spans="1:22" ht="22.5" x14ac:dyDescent="0.2">
      <c r="A114" s="8" t="s">
        <v>91</v>
      </c>
      <c r="B114" s="14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46">
        <f>SUM(B114:J114)</f>
        <v>0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ht="22.5" x14ac:dyDescent="0.2">
      <c r="A115" s="8" t="s">
        <v>87</v>
      </c>
      <c r="B115" s="14">
        <v>0</v>
      </c>
      <c r="C115" s="14">
        <f>222+0</f>
        <v>222</v>
      </c>
      <c r="D115" s="14">
        <f>761+5</f>
        <v>766</v>
      </c>
      <c r="E115" s="14">
        <f>844+39</f>
        <v>883</v>
      </c>
      <c r="F115" s="14">
        <f>131+5</f>
        <v>136</v>
      </c>
      <c r="G115" s="14">
        <f>10+0</f>
        <v>10</v>
      </c>
      <c r="H115" s="14">
        <f>1+0</f>
        <v>1</v>
      </c>
      <c r="I115" s="14">
        <f>0+0</f>
        <v>0</v>
      </c>
      <c r="J115" s="14">
        <f>0+0</f>
        <v>0</v>
      </c>
      <c r="K115" s="46">
        <f>SUM(B115:J115)</f>
        <v>2018</v>
      </c>
      <c r="M115" s="12" t="s">
        <v>93</v>
      </c>
      <c r="N115">
        <v>0</v>
      </c>
      <c r="O115">
        <v>2</v>
      </c>
      <c r="P115">
        <v>1</v>
      </c>
      <c r="Q115">
        <v>0</v>
      </c>
      <c r="R115">
        <v>1</v>
      </c>
      <c r="S115">
        <v>0</v>
      </c>
      <c r="T115">
        <v>1</v>
      </c>
      <c r="U115">
        <v>0</v>
      </c>
      <c r="V115">
        <f>SUM(N115:U115)</f>
        <v>5</v>
      </c>
    </row>
    <row r="116" spans="1:22" ht="22.5" x14ac:dyDescent="0.2">
      <c r="A116" s="8" t="s">
        <v>88</v>
      </c>
      <c r="B116" s="14">
        <v>0</v>
      </c>
      <c r="C116" s="14">
        <f>N117</f>
        <v>0</v>
      </c>
      <c r="D116" s="14">
        <f t="shared" ref="D116:J116" si="45">O117</f>
        <v>2</v>
      </c>
      <c r="E116" s="14">
        <f t="shared" si="45"/>
        <v>1</v>
      </c>
      <c r="F116" s="14">
        <f t="shared" si="45"/>
        <v>0</v>
      </c>
      <c r="G116" s="14">
        <f t="shared" si="45"/>
        <v>1</v>
      </c>
      <c r="H116" s="14">
        <f t="shared" si="45"/>
        <v>0</v>
      </c>
      <c r="I116" s="14">
        <f t="shared" si="45"/>
        <v>1</v>
      </c>
      <c r="J116" s="14">
        <f t="shared" si="45"/>
        <v>0</v>
      </c>
      <c r="K116" s="46">
        <f>SUM(B116:J116)</f>
        <v>5</v>
      </c>
      <c r="M116" s="12" t="s">
        <v>92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>
        <f>SUM(N116:U116)</f>
        <v>0</v>
      </c>
    </row>
    <row r="117" spans="1:22" x14ac:dyDescent="0.2">
      <c r="A117" s="8" t="s">
        <v>73</v>
      </c>
      <c r="B117" s="14">
        <v>0</v>
      </c>
      <c r="C117" s="14">
        <f t="shared" ref="C117:J117" si="46">C107</f>
        <v>0</v>
      </c>
      <c r="D117" s="14">
        <f t="shared" si="46"/>
        <v>0</v>
      </c>
      <c r="E117" s="14">
        <f t="shared" si="46"/>
        <v>0</v>
      </c>
      <c r="F117" s="14">
        <f t="shared" si="46"/>
        <v>0</v>
      </c>
      <c r="G117" s="14">
        <f t="shared" si="46"/>
        <v>0</v>
      </c>
      <c r="H117" s="14">
        <f t="shared" si="46"/>
        <v>0</v>
      </c>
      <c r="I117" s="14">
        <f t="shared" si="46"/>
        <v>0</v>
      </c>
      <c r="J117" s="14">
        <f t="shared" si="46"/>
        <v>0</v>
      </c>
      <c r="K117" s="46">
        <f>SUM(B117:J117)</f>
        <v>0</v>
      </c>
      <c r="N117">
        <f>N115+N116</f>
        <v>0</v>
      </c>
      <c r="O117">
        <f t="shared" ref="O117:U117" si="47">O115+O116</f>
        <v>2</v>
      </c>
      <c r="P117">
        <f t="shared" si="47"/>
        <v>1</v>
      </c>
      <c r="Q117">
        <f t="shared" si="47"/>
        <v>0</v>
      </c>
      <c r="R117">
        <f t="shared" si="47"/>
        <v>1</v>
      </c>
      <c r="S117">
        <f t="shared" si="47"/>
        <v>0</v>
      </c>
      <c r="T117">
        <f t="shared" si="47"/>
        <v>1</v>
      </c>
      <c r="U117">
        <f t="shared" si="47"/>
        <v>0</v>
      </c>
    </row>
    <row r="118" spans="1:22" x14ac:dyDescent="0.2">
      <c r="A118" s="8" t="s">
        <v>74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46">
        <f>SUM(B118:J118)</f>
        <v>0</v>
      </c>
    </row>
    <row r="119" spans="1:22" ht="22.5" x14ac:dyDescent="0.2">
      <c r="A119" s="8" t="s">
        <v>75</v>
      </c>
      <c r="B119" s="14">
        <f>SUM(B113-B114-B115-B116-B117-B118)</f>
        <v>0</v>
      </c>
      <c r="C119" s="14">
        <f t="shared" ref="C119:K119" si="48">SUM(C113-C114-C115-C116-C117-C118)</f>
        <v>-77</v>
      </c>
      <c r="D119" s="14">
        <f t="shared" si="48"/>
        <v>43</v>
      </c>
      <c r="E119" s="14">
        <f t="shared" si="48"/>
        <v>1452</v>
      </c>
      <c r="F119" s="14">
        <f t="shared" si="48"/>
        <v>209</v>
      </c>
      <c r="G119" s="14">
        <f t="shared" si="48"/>
        <v>16</v>
      </c>
      <c r="H119" s="14">
        <f t="shared" si="48"/>
        <v>-1</v>
      </c>
      <c r="I119" s="14">
        <f t="shared" si="48"/>
        <v>0</v>
      </c>
      <c r="J119" s="14">
        <f t="shared" si="48"/>
        <v>1</v>
      </c>
      <c r="K119" s="46">
        <f t="shared" si="48"/>
        <v>1643</v>
      </c>
    </row>
    <row r="120" spans="1:22" ht="33.75" x14ac:dyDescent="0.2">
      <c r="A120" s="8" t="s">
        <v>76</v>
      </c>
      <c r="B120" s="14">
        <f>SUM((B114*0.75)+(B115*0.75)+(B116*0.5)+(B117*0.5)+ (B118*1.5)+B119)</f>
        <v>0</v>
      </c>
      <c r="C120" s="70">
        <f t="shared" ref="C120:J120" si="49">SUM((C114*0.75)+(C115*0.75)+(C116*0.5)+(C117*0.5)+ (C118*1.5)+C119)</f>
        <v>89.5</v>
      </c>
      <c r="D120" s="70">
        <f t="shared" si="49"/>
        <v>618.5</v>
      </c>
      <c r="E120" s="70">
        <f t="shared" si="49"/>
        <v>2114.75</v>
      </c>
      <c r="F120" s="70">
        <f t="shared" si="49"/>
        <v>311</v>
      </c>
      <c r="G120" s="70">
        <f t="shared" si="49"/>
        <v>24</v>
      </c>
      <c r="H120" s="70">
        <f t="shared" si="49"/>
        <v>-0.25</v>
      </c>
      <c r="I120" s="70">
        <f t="shared" si="49"/>
        <v>0.5</v>
      </c>
      <c r="J120" s="70">
        <f t="shared" si="49"/>
        <v>1</v>
      </c>
      <c r="K120" s="54">
        <f>SUM(B120:J120)</f>
        <v>3159</v>
      </c>
    </row>
    <row r="121" spans="1:22" x14ac:dyDescent="0.2">
      <c r="A121" s="8" t="s">
        <v>77</v>
      </c>
      <c r="B121" s="71" t="s">
        <v>21</v>
      </c>
      <c r="C121" s="71" t="s">
        <v>22</v>
      </c>
      <c r="D121" s="71" t="s">
        <v>23</v>
      </c>
      <c r="E121" s="71" t="s">
        <v>24</v>
      </c>
      <c r="F121" s="71">
        <v>1</v>
      </c>
      <c r="G121" s="71" t="s">
        <v>25</v>
      </c>
      <c r="H121" s="71" t="s">
        <v>26</v>
      </c>
      <c r="I121" s="71" t="s">
        <v>27</v>
      </c>
      <c r="J121" s="71" t="s">
        <v>28</v>
      </c>
      <c r="K121" s="46"/>
    </row>
    <row r="122" spans="1:22" x14ac:dyDescent="0.2">
      <c r="A122" s="8"/>
      <c r="B122" s="71"/>
      <c r="C122" s="71"/>
      <c r="D122" s="71"/>
      <c r="E122" s="71"/>
      <c r="F122" s="71"/>
      <c r="G122" s="71"/>
      <c r="H122" s="71"/>
      <c r="I122" s="71"/>
      <c r="J122" s="71"/>
      <c r="K122" s="46"/>
    </row>
    <row r="123" spans="1:22" ht="15" x14ac:dyDescent="0.25">
      <c r="A123" s="8" t="s">
        <v>78</v>
      </c>
      <c r="B123" s="72">
        <f>ROUND(B120/9*5,2)</f>
        <v>0</v>
      </c>
      <c r="C123" s="72">
        <f>ROUND(C120/9*6,2)</f>
        <v>59.67</v>
      </c>
      <c r="D123" s="72">
        <f>ROUND(D120/9*7,2)</f>
        <v>481.06</v>
      </c>
      <c r="E123" s="72">
        <f>ROUND(E120/9*8,2)</f>
        <v>1879.78</v>
      </c>
      <c r="F123" s="72">
        <f>ROUND(F120*F121,2)</f>
        <v>311</v>
      </c>
      <c r="G123" s="72">
        <f>ROUND(G120/9*11,2)</f>
        <v>29.33</v>
      </c>
      <c r="H123" s="72">
        <f>ROUND(H120/9*13,2)</f>
        <v>-0.36</v>
      </c>
      <c r="I123" s="72">
        <f>ROUND(I120/9*15,2)</f>
        <v>0.83</v>
      </c>
      <c r="J123" s="72">
        <f>ROUND(J120/9*18,2)</f>
        <v>2</v>
      </c>
      <c r="K123" s="54">
        <f>SUM(B123:J123)</f>
        <v>2763.31</v>
      </c>
    </row>
    <row r="124" spans="1:22" ht="23.25" x14ac:dyDescent="0.25">
      <c r="A124" s="8" t="s">
        <v>89</v>
      </c>
      <c r="B124" s="73"/>
      <c r="C124" s="74"/>
      <c r="D124" s="70"/>
      <c r="E124" s="70"/>
      <c r="F124" s="70"/>
      <c r="G124" s="70"/>
      <c r="H124" s="70"/>
      <c r="I124" s="70"/>
      <c r="J124" s="70"/>
      <c r="K124" s="46">
        <v>0</v>
      </c>
    </row>
    <row r="125" spans="1:22" ht="23.25" x14ac:dyDescent="0.25">
      <c r="A125" s="8" t="s">
        <v>79</v>
      </c>
      <c r="B125" s="73"/>
      <c r="C125" s="74"/>
      <c r="D125" s="70"/>
      <c r="E125" s="70"/>
      <c r="F125" s="70"/>
      <c r="G125" s="70"/>
      <c r="H125" s="70"/>
      <c r="I125" s="70"/>
      <c r="J125" s="70"/>
      <c r="K125" s="54">
        <f>SUM(K123+K124)</f>
        <v>2763.31</v>
      </c>
    </row>
    <row r="126" spans="1:22" ht="16.5" thickBot="1" x14ac:dyDescent="0.3">
      <c r="A126" s="34" t="s">
        <v>90</v>
      </c>
      <c r="B126" s="75"/>
      <c r="C126" s="76"/>
      <c r="D126" s="76"/>
      <c r="E126" s="76"/>
      <c r="F126" s="76"/>
      <c r="G126" s="76"/>
      <c r="H126" s="76"/>
      <c r="I126" s="76"/>
      <c r="J126" s="76"/>
      <c r="K126" s="59">
        <f>SUM(K125/100*97.5)</f>
        <v>2694.2272499999999</v>
      </c>
    </row>
    <row r="127" spans="1:22" ht="15.75" x14ac:dyDescent="0.25">
      <c r="A127" s="1" t="s">
        <v>80</v>
      </c>
      <c r="D127" s="2" t="s">
        <v>32</v>
      </c>
      <c r="K127" s="62"/>
    </row>
    <row r="128" spans="1:22" ht="16.5" thickBot="1" x14ac:dyDescent="0.3">
      <c r="C128" s="1" t="s">
        <v>82</v>
      </c>
      <c r="K128" s="62"/>
    </row>
    <row r="129" spans="1:12" x14ac:dyDescent="0.2">
      <c r="A129" s="4" t="s">
        <v>0</v>
      </c>
      <c r="B129" s="5" t="s">
        <v>1</v>
      </c>
      <c r="C129" s="6" t="s">
        <v>2</v>
      </c>
      <c r="D129" s="6" t="s">
        <v>3</v>
      </c>
      <c r="E129" s="6" t="s">
        <v>4</v>
      </c>
      <c r="F129" s="6" t="s">
        <v>5</v>
      </c>
      <c r="G129" s="6" t="s">
        <v>6</v>
      </c>
      <c r="H129" s="6" t="s">
        <v>7</v>
      </c>
      <c r="I129" s="6" t="s">
        <v>8</v>
      </c>
      <c r="J129" s="6" t="s">
        <v>9</v>
      </c>
      <c r="K129" s="63" t="s">
        <v>10</v>
      </c>
    </row>
    <row r="130" spans="1:12" x14ac:dyDescent="0.2">
      <c r="A130" s="8" t="s">
        <v>34</v>
      </c>
      <c r="B130" s="9"/>
      <c r="C130" s="10">
        <f t="shared" ref="C130:J130" si="50">C4-C30-C55-C80-C105</f>
        <v>1764</v>
      </c>
      <c r="D130" s="10">
        <f t="shared" si="50"/>
        <v>7107</v>
      </c>
      <c r="E130" s="10">
        <f t="shared" si="50"/>
        <v>13865</v>
      </c>
      <c r="F130" s="10">
        <f t="shared" si="50"/>
        <v>13232</v>
      </c>
      <c r="G130" s="10">
        <f t="shared" si="50"/>
        <v>6413</v>
      </c>
      <c r="H130" s="10">
        <f t="shared" si="50"/>
        <v>2622</v>
      </c>
      <c r="I130" s="10">
        <f t="shared" si="50"/>
        <v>3115</v>
      </c>
      <c r="J130" s="10">
        <f t="shared" si="50"/>
        <v>572</v>
      </c>
      <c r="K130" s="46">
        <f>SUM(B130:J130)</f>
        <v>48690</v>
      </c>
    </row>
    <row r="131" spans="1:12" x14ac:dyDescent="0.2">
      <c r="A131" s="8" t="s">
        <v>72</v>
      </c>
      <c r="B131" s="9"/>
      <c r="C131" s="77">
        <f t="shared" ref="C131:J131" si="51">C5-C32-C56-C81-C106</f>
        <v>0</v>
      </c>
      <c r="D131" s="77">
        <f t="shared" si="51"/>
        <v>0</v>
      </c>
      <c r="E131" s="77">
        <f t="shared" si="51"/>
        <v>0</v>
      </c>
      <c r="F131" s="77">
        <f t="shared" si="51"/>
        <v>0</v>
      </c>
      <c r="G131" s="77">
        <f t="shared" si="51"/>
        <v>0</v>
      </c>
      <c r="H131" s="77">
        <f t="shared" si="51"/>
        <v>0</v>
      </c>
      <c r="I131" s="77">
        <f t="shared" si="51"/>
        <v>0</v>
      </c>
      <c r="J131" s="77">
        <f t="shared" si="51"/>
        <v>0</v>
      </c>
      <c r="K131" s="48">
        <f>SUM(C131:J131)</f>
        <v>0</v>
      </c>
    </row>
    <row r="132" spans="1:12" x14ac:dyDescent="0.2">
      <c r="A132" s="8" t="s">
        <v>83</v>
      </c>
      <c r="B132" s="9"/>
      <c r="C132" s="77">
        <f t="shared" ref="C132:J133" si="52">C6-C32-C57-C82-C107</f>
        <v>0</v>
      </c>
      <c r="D132" s="77">
        <f t="shared" si="52"/>
        <v>0</v>
      </c>
      <c r="E132" s="77">
        <f t="shared" si="52"/>
        <v>0</v>
      </c>
      <c r="F132" s="77">
        <f t="shared" si="52"/>
        <v>0</v>
      </c>
      <c r="G132" s="77">
        <f t="shared" si="52"/>
        <v>0</v>
      </c>
      <c r="H132" s="77">
        <f t="shared" si="52"/>
        <v>0</v>
      </c>
      <c r="I132" s="77">
        <f t="shared" si="52"/>
        <v>0</v>
      </c>
      <c r="J132" s="77">
        <f t="shared" si="52"/>
        <v>0</v>
      </c>
      <c r="K132" s="50">
        <f>SUM(B132:J132)</f>
        <v>0</v>
      </c>
    </row>
    <row r="133" spans="1:12" x14ac:dyDescent="0.2">
      <c r="A133" s="8" t="s">
        <v>84</v>
      </c>
      <c r="B133" s="9"/>
      <c r="C133" s="77">
        <f t="shared" si="52"/>
        <v>414</v>
      </c>
      <c r="D133" s="77">
        <f t="shared" si="52"/>
        <v>688</v>
      </c>
      <c r="E133" s="77">
        <f t="shared" si="52"/>
        <v>1102</v>
      </c>
      <c r="F133" s="77">
        <f t="shared" si="52"/>
        <v>1762</v>
      </c>
      <c r="G133" s="77">
        <f t="shared" si="52"/>
        <v>1029</v>
      </c>
      <c r="H133" s="77">
        <f t="shared" si="52"/>
        <v>237</v>
      </c>
      <c r="I133" s="77">
        <f t="shared" si="52"/>
        <v>235</v>
      </c>
      <c r="J133" s="77">
        <f t="shared" si="52"/>
        <v>206</v>
      </c>
      <c r="K133" s="46">
        <f>SUM(C133:J133)</f>
        <v>5673</v>
      </c>
    </row>
    <row r="134" spans="1:12" x14ac:dyDescent="0.2">
      <c r="A134" s="8" t="s">
        <v>13</v>
      </c>
      <c r="B134" s="9"/>
      <c r="C134" s="77" t="e">
        <f>#REF!-C34-C59-C84-C109</f>
        <v>#REF!</v>
      </c>
      <c r="D134" s="77" t="e">
        <f>#REF!-D34-D59-D84-D109</f>
        <v>#REF!</v>
      </c>
      <c r="E134" s="77" t="e">
        <f>#REF!-E34-E59-E84-E109</f>
        <v>#REF!</v>
      </c>
      <c r="F134" s="77" t="e">
        <f>#REF!-F34-F59-F84-F109</f>
        <v>#REF!</v>
      </c>
      <c r="G134" s="77" t="e">
        <f>#REF!-G34-G59-G84-G109</f>
        <v>#REF!</v>
      </c>
      <c r="H134" s="77" t="e">
        <f>#REF!-H34-H59-H84-H109</f>
        <v>#REF!</v>
      </c>
      <c r="I134" s="77" t="e">
        <f>#REF!-I34-I59-I84-I109</f>
        <v>#REF!</v>
      </c>
      <c r="J134" s="77" t="e">
        <f>#REF!-J34-J59-J84-J109</f>
        <v>#REF!</v>
      </c>
      <c r="K134" s="46" t="e">
        <f>SUM(C134:J134)</f>
        <v>#REF!</v>
      </c>
      <c r="L134" s="12"/>
    </row>
    <row r="135" spans="1:12" ht="22.5" x14ac:dyDescent="0.2">
      <c r="A135" s="8" t="s">
        <v>85</v>
      </c>
      <c r="B135" s="9"/>
      <c r="C135" s="14" t="e">
        <f>C130+C131+C132-C133-C134</f>
        <v>#REF!</v>
      </c>
      <c r="D135" s="14" t="e">
        <f t="shared" ref="D135:J135" si="53">D130+D131+D132-D133-D134</f>
        <v>#REF!</v>
      </c>
      <c r="E135" s="14" t="e">
        <f t="shared" si="53"/>
        <v>#REF!</v>
      </c>
      <c r="F135" s="14" t="e">
        <f t="shared" si="53"/>
        <v>#REF!</v>
      </c>
      <c r="G135" s="14" t="e">
        <f t="shared" si="53"/>
        <v>#REF!</v>
      </c>
      <c r="H135" s="14" t="e">
        <f t="shared" si="53"/>
        <v>#REF!</v>
      </c>
      <c r="I135" s="14" t="e">
        <f t="shared" si="53"/>
        <v>#REF!</v>
      </c>
      <c r="J135" s="14" t="e">
        <f t="shared" si="53"/>
        <v>#REF!</v>
      </c>
      <c r="K135" s="46" t="e">
        <f>K130+K131+K132-K133-K134</f>
        <v>#REF!</v>
      </c>
    </row>
    <row r="136" spans="1:12" ht="22.5" x14ac:dyDescent="0.2">
      <c r="A136" s="8" t="s">
        <v>86</v>
      </c>
      <c r="B136" s="9"/>
      <c r="C136" s="14">
        <f t="shared" ref="C136:J136" si="54">C9-C36-C61-C86-C111</f>
        <v>0</v>
      </c>
      <c r="D136" s="14">
        <f t="shared" si="54"/>
        <v>17</v>
      </c>
      <c r="E136" s="14">
        <f t="shared" si="54"/>
        <v>49</v>
      </c>
      <c r="F136" s="14">
        <f t="shared" si="54"/>
        <v>55</v>
      </c>
      <c r="G136" s="14">
        <f t="shared" si="54"/>
        <v>25</v>
      </c>
      <c r="H136" s="14">
        <f t="shared" si="54"/>
        <v>12</v>
      </c>
      <c r="I136" s="14">
        <f t="shared" si="54"/>
        <v>14</v>
      </c>
      <c r="J136" s="14">
        <f t="shared" si="54"/>
        <v>6</v>
      </c>
      <c r="K136" s="50">
        <f>SUM(C136:J136)</f>
        <v>178</v>
      </c>
    </row>
    <row r="137" spans="1:12" ht="33.75" x14ac:dyDescent="0.2">
      <c r="A137" s="8" t="s">
        <v>15</v>
      </c>
      <c r="B137" s="16">
        <f t="shared" ref="B137:I137" si="55">C136</f>
        <v>0</v>
      </c>
      <c r="C137" s="16">
        <f t="shared" si="55"/>
        <v>17</v>
      </c>
      <c r="D137" s="16">
        <f t="shared" si="55"/>
        <v>49</v>
      </c>
      <c r="E137" s="16">
        <f t="shared" si="55"/>
        <v>55</v>
      </c>
      <c r="F137" s="16">
        <f t="shared" si="55"/>
        <v>25</v>
      </c>
      <c r="G137" s="16">
        <f t="shared" si="55"/>
        <v>12</v>
      </c>
      <c r="H137" s="16">
        <f t="shared" si="55"/>
        <v>14</v>
      </c>
      <c r="I137" s="16">
        <f t="shared" si="55"/>
        <v>6</v>
      </c>
      <c r="J137" s="9"/>
      <c r="K137" s="50">
        <f>SUM(B137:I137)</f>
        <v>178</v>
      </c>
    </row>
    <row r="138" spans="1:12" ht="22.5" x14ac:dyDescent="0.2">
      <c r="A138" s="8" t="s">
        <v>16</v>
      </c>
      <c r="B138" s="18">
        <f t="shared" ref="B138:K138" si="56">SUM(B135-B136+B137)</f>
        <v>0</v>
      </c>
      <c r="C138" s="18" t="e">
        <f t="shared" si="56"/>
        <v>#REF!</v>
      </c>
      <c r="D138" s="18" t="e">
        <f t="shared" si="56"/>
        <v>#REF!</v>
      </c>
      <c r="E138" s="18" t="e">
        <f t="shared" si="56"/>
        <v>#REF!</v>
      </c>
      <c r="F138" s="18" t="e">
        <f t="shared" si="56"/>
        <v>#REF!</v>
      </c>
      <c r="G138" s="18" t="e">
        <f t="shared" si="56"/>
        <v>#REF!</v>
      </c>
      <c r="H138" s="18" t="e">
        <f t="shared" si="56"/>
        <v>#REF!</v>
      </c>
      <c r="I138" s="18" t="e">
        <f t="shared" si="56"/>
        <v>#REF!</v>
      </c>
      <c r="J138" s="18" t="e">
        <f t="shared" si="56"/>
        <v>#REF!</v>
      </c>
      <c r="K138" s="52" t="e">
        <f t="shared" si="56"/>
        <v>#REF!</v>
      </c>
    </row>
    <row r="139" spans="1:12" ht="22.5" x14ac:dyDescent="0.2">
      <c r="A139" s="8" t="s">
        <v>91</v>
      </c>
      <c r="B139" s="14">
        <f t="shared" ref="B139:J139" si="57">B12-B39-B64-B89-B114</f>
        <v>0</v>
      </c>
      <c r="C139" s="14">
        <f t="shared" si="57"/>
        <v>0</v>
      </c>
      <c r="D139" s="14">
        <f t="shared" si="57"/>
        <v>3</v>
      </c>
      <c r="E139" s="14">
        <f t="shared" si="57"/>
        <v>13</v>
      </c>
      <c r="F139" s="14">
        <f t="shared" si="57"/>
        <v>25</v>
      </c>
      <c r="G139" s="14">
        <f t="shared" si="57"/>
        <v>13</v>
      </c>
      <c r="H139" s="14">
        <f t="shared" si="57"/>
        <v>7</v>
      </c>
      <c r="I139" s="14">
        <f t="shared" si="57"/>
        <v>14</v>
      </c>
      <c r="J139" s="14">
        <f t="shared" si="57"/>
        <v>2</v>
      </c>
      <c r="K139" s="52">
        <f>SUM(B139:J139)</f>
        <v>77</v>
      </c>
    </row>
    <row r="140" spans="1:12" ht="22.5" x14ac:dyDescent="0.2">
      <c r="A140" s="8" t="s">
        <v>87</v>
      </c>
      <c r="B140" s="14">
        <f t="shared" ref="B140:J140" si="58">B13-B40-B65-B90-B115</f>
        <v>0</v>
      </c>
      <c r="C140" s="14">
        <f t="shared" si="58"/>
        <v>878</v>
      </c>
      <c r="D140" s="14">
        <f t="shared" si="58"/>
        <v>3473</v>
      </c>
      <c r="E140" s="14">
        <f t="shared" si="58"/>
        <v>4326</v>
      </c>
      <c r="F140" s="14">
        <f t="shared" si="58"/>
        <v>3528</v>
      </c>
      <c r="G140" s="14">
        <f t="shared" si="58"/>
        <v>1517</v>
      </c>
      <c r="H140" s="14">
        <f t="shared" si="58"/>
        <v>554</v>
      </c>
      <c r="I140" s="14">
        <f t="shared" si="58"/>
        <v>476</v>
      </c>
      <c r="J140" s="14">
        <f t="shared" si="58"/>
        <v>27</v>
      </c>
      <c r="K140" s="52">
        <f>SUM(B140:J140)</f>
        <v>14779</v>
      </c>
    </row>
    <row r="141" spans="1:12" ht="22.5" x14ac:dyDescent="0.2">
      <c r="A141" s="8" t="s">
        <v>88</v>
      </c>
      <c r="B141" s="14">
        <f t="shared" ref="B141:J141" si="59">B14-B41-B66-B91-B116</f>
        <v>0</v>
      </c>
      <c r="C141" s="14">
        <f t="shared" si="59"/>
        <v>2</v>
      </c>
      <c r="D141" s="14">
        <f t="shared" si="59"/>
        <v>9</v>
      </c>
      <c r="E141" s="14">
        <f t="shared" si="59"/>
        <v>21</v>
      </c>
      <c r="F141" s="14">
        <f t="shared" si="59"/>
        <v>30</v>
      </c>
      <c r="G141" s="14">
        <f t="shared" si="59"/>
        <v>16</v>
      </c>
      <c r="H141" s="14">
        <f t="shared" si="59"/>
        <v>14</v>
      </c>
      <c r="I141" s="14">
        <f t="shared" si="59"/>
        <v>28</v>
      </c>
      <c r="J141" s="14">
        <f t="shared" si="59"/>
        <v>16</v>
      </c>
      <c r="K141" s="53">
        <f>SUM(B141:J141)</f>
        <v>136</v>
      </c>
    </row>
    <row r="142" spans="1:12" x14ac:dyDescent="0.2">
      <c r="A142" s="8" t="s">
        <v>73</v>
      </c>
      <c r="B142" s="21">
        <v>0</v>
      </c>
      <c r="C142" s="21">
        <f t="shared" ref="C142:J142" si="60">C132</f>
        <v>0</v>
      </c>
      <c r="D142" s="21">
        <f t="shared" si="60"/>
        <v>0</v>
      </c>
      <c r="E142" s="21">
        <f t="shared" si="60"/>
        <v>0</v>
      </c>
      <c r="F142" s="21">
        <f t="shared" si="60"/>
        <v>0</v>
      </c>
      <c r="G142" s="21">
        <f t="shared" si="60"/>
        <v>0</v>
      </c>
      <c r="H142" s="21">
        <f t="shared" si="60"/>
        <v>0</v>
      </c>
      <c r="I142" s="21">
        <f t="shared" si="60"/>
        <v>0</v>
      </c>
      <c r="J142" s="21">
        <f t="shared" si="60"/>
        <v>0</v>
      </c>
      <c r="K142" s="53">
        <f>SUM(B142:J142)</f>
        <v>0</v>
      </c>
    </row>
    <row r="143" spans="1:12" x14ac:dyDescent="0.2">
      <c r="A143" s="8" t="s">
        <v>74</v>
      </c>
      <c r="B143" s="14">
        <f t="shared" ref="B143:J143" si="61">B16-B43-B68-B93-B118</f>
        <v>0</v>
      </c>
      <c r="C143" s="14">
        <f t="shared" si="61"/>
        <v>3</v>
      </c>
      <c r="D143" s="14">
        <f t="shared" si="61"/>
        <v>9</v>
      </c>
      <c r="E143" s="14">
        <f t="shared" si="61"/>
        <v>13</v>
      </c>
      <c r="F143" s="14">
        <f t="shared" si="61"/>
        <v>17</v>
      </c>
      <c r="G143" s="14">
        <f t="shared" si="61"/>
        <v>10</v>
      </c>
      <c r="H143" s="14">
        <f t="shared" si="61"/>
        <v>2</v>
      </c>
      <c r="I143" s="14">
        <f t="shared" si="61"/>
        <v>5</v>
      </c>
      <c r="J143" s="14">
        <f t="shared" si="61"/>
        <v>1</v>
      </c>
      <c r="K143" s="52">
        <f>SUM(B143:J143)</f>
        <v>60</v>
      </c>
    </row>
    <row r="144" spans="1:12" ht="22.5" x14ac:dyDescent="0.2">
      <c r="A144" s="8" t="s">
        <v>75</v>
      </c>
      <c r="B144" s="14">
        <f>SUM(B138-B139-B140-B141-B142-B143)</f>
        <v>0</v>
      </c>
      <c r="C144" s="14" t="e">
        <f t="shared" ref="C144:K144" si="62">SUM(C138-C139-C140-C141-C142-C143)</f>
        <v>#REF!</v>
      </c>
      <c r="D144" s="14" t="e">
        <f t="shared" si="62"/>
        <v>#REF!</v>
      </c>
      <c r="E144" s="14" t="e">
        <f t="shared" si="62"/>
        <v>#REF!</v>
      </c>
      <c r="F144" s="14" t="e">
        <f t="shared" si="62"/>
        <v>#REF!</v>
      </c>
      <c r="G144" s="14" t="e">
        <f t="shared" si="62"/>
        <v>#REF!</v>
      </c>
      <c r="H144" s="14" t="e">
        <f t="shared" si="62"/>
        <v>#REF!</v>
      </c>
      <c r="I144" s="14" t="e">
        <f t="shared" si="62"/>
        <v>#REF!</v>
      </c>
      <c r="J144" s="14" t="e">
        <f t="shared" si="62"/>
        <v>#REF!</v>
      </c>
      <c r="K144" s="52" t="e">
        <f t="shared" si="62"/>
        <v>#REF!</v>
      </c>
    </row>
    <row r="145" spans="1:11" ht="33.75" x14ac:dyDescent="0.2">
      <c r="A145" s="8" t="s">
        <v>76</v>
      </c>
      <c r="B145" s="24">
        <f>SUM((B139*0.75)+(B140*0.75)+(B141*0.5)+(B142*0.5)+ (B143*1.5)+B144)</f>
        <v>0</v>
      </c>
      <c r="C145" s="24" t="e">
        <f t="shared" ref="C145:J145" si="63">SUM((C139*0.75)+(C140*0.75)+(C141*0.5)+(C142*0.5)+ (C143*1.5)+C144)</f>
        <v>#REF!</v>
      </c>
      <c r="D145" s="24" t="e">
        <f t="shared" si="63"/>
        <v>#REF!</v>
      </c>
      <c r="E145" s="24" t="e">
        <f t="shared" si="63"/>
        <v>#REF!</v>
      </c>
      <c r="F145" s="24" t="e">
        <f t="shared" si="63"/>
        <v>#REF!</v>
      </c>
      <c r="G145" s="24" t="e">
        <f t="shared" si="63"/>
        <v>#REF!</v>
      </c>
      <c r="H145" s="24" t="e">
        <f t="shared" si="63"/>
        <v>#REF!</v>
      </c>
      <c r="I145" s="24" t="e">
        <f t="shared" si="63"/>
        <v>#REF!</v>
      </c>
      <c r="J145" s="24" t="e">
        <f t="shared" si="63"/>
        <v>#REF!</v>
      </c>
      <c r="K145" s="54" t="e">
        <f>SUM(B145:J145)</f>
        <v>#REF!</v>
      </c>
    </row>
    <row r="146" spans="1:11" x14ac:dyDescent="0.2">
      <c r="A146" s="8" t="s">
        <v>77</v>
      </c>
      <c r="B146" s="26" t="s">
        <v>21</v>
      </c>
      <c r="C146" s="26" t="s">
        <v>22</v>
      </c>
      <c r="D146" s="27" t="s">
        <v>23</v>
      </c>
      <c r="E146" s="27" t="s">
        <v>24</v>
      </c>
      <c r="F146" s="27">
        <v>1</v>
      </c>
      <c r="G146" s="27" t="s">
        <v>25</v>
      </c>
      <c r="H146" s="27" t="s">
        <v>26</v>
      </c>
      <c r="I146" s="27" t="s">
        <v>27</v>
      </c>
      <c r="J146" s="27" t="s">
        <v>28</v>
      </c>
      <c r="K146" s="50"/>
    </row>
    <row r="147" spans="1:11" x14ac:dyDescent="0.2">
      <c r="A147" s="8"/>
      <c r="B147" s="26"/>
      <c r="C147" s="26"/>
      <c r="D147" s="27"/>
      <c r="E147" s="27"/>
      <c r="F147" s="27"/>
      <c r="G147" s="27"/>
      <c r="H147" s="27"/>
      <c r="I147" s="27"/>
      <c r="J147" s="27"/>
      <c r="K147" s="50"/>
    </row>
    <row r="148" spans="1:11" ht="15" x14ac:dyDescent="0.25">
      <c r="A148" s="8" t="s">
        <v>78</v>
      </c>
      <c r="B148" s="28">
        <f>ROUND(B145/9*5,2)</f>
        <v>0</v>
      </c>
      <c r="C148" s="28" t="e">
        <f>ROUND(C145/9*6,2)</f>
        <v>#REF!</v>
      </c>
      <c r="D148" s="28" t="e">
        <f>ROUND(D145/9*7,2)</f>
        <v>#REF!</v>
      </c>
      <c r="E148" s="28" t="e">
        <f>ROUND(E145/9*8,2)</f>
        <v>#REF!</v>
      </c>
      <c r="F148" s="28" t="e">
        <f>ROUND(F145*F146,2)</f>
        <v>#REF!</v>
      </c>
      <c r="G148" s="28" t="e">
        <f>ROUND(G145/9*11,2)</f>
        <v>#REF!</v>
      </c>
      <c r="H148" s="28" t="e">
        <f>ROUND(H145/9*13,2)</f>
        <v>#REF!</v>
      </c>
      <c r="I148" s="28" t="e">
        <f>ROUND(I145/9*15,2)</f>
        <v>#REF!</v>
      </c>
      <c r="J148" s="28" t="e">
        <f>ROUND(J145/9*18,2)</f>
        <v>#REF!</v>
      </c>
      <c r="K148" s="54" t="e">
        <f>SUM(B148:J148)</f>
        <v>#REF!</v>
      </c>
    </row>
    <row r="149" spans="1:11" ht="23.25" x14ac:dyDescent="0.25">
      <c r="A149" s="8" t="s">
        <v>89</v>
      </c>
      <c r="B149" s="55"/>
      <c r="C149" s="51"/>
      <c r="D149" s="51"/>
      <c r="E149" s="51"/>
      <c r="F149" s="51"/>
      <c r="G149" s="51"/>
      <c r="H149" s="51"/>
      <c r="I149" s="51"/>
      <c r="J149" s="51"/>
      <c r="K149" s="56">
        <v>0</v>
      </c>
    </row>
    <row r="150" spans="1:11" ht="23.25" x14ac:dyDescent="0.25">
      <c r="A150" s="8" t="s">
        <v>79</v>
      </c>
      <c r="B150" s="55"/>
      <c r="C150" s="51"/>
      <c r="D150" s="51"/>
      <c r="E150" s="51"/>
      <c r="F150" s="51"/>
      <c r="G150" s="51"/>
      <c r="H150" s="51"/>
      <c r="I150" s="51"/>
      <c r="J150" s="51"/>
      <c r="K150" s="54" t="e">
        <f>SUM(K148+K149)</f>
        <v>#REF!</v>
      </c>
    </row>
    <row r="151" spans="1:11" ht="16.5" thickBot="1" x14ac:dyDescent="0.3">
      <c r="A151" s="34" t="s">
        <v>90</v>
      </c>
      <c r="B151" s="57"/>
      <c r="C151" s="58"/>
      <c r="D151" s="58"/>
      <c r="E151" s="58"/>
      <c r="F151" s="58"/>
      <c r="G151" s="58"/>
      <c r="H151" s="58"/>
      <c r="I151" s="58"/>
      <c r="J151" s="58"/>
      <c r="K151" s="59" t="e">
        <f>SUM(K150/100*97.5)</f>
        <v>#REF!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7" workbookViewId="0">
      <selection activeCell="C14" sqref="C14:J14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9.28515625" customWidth="1"/>
    <col min="11" max="11" width="9.85546875" customWidth="1"/>
    <col min="12" max="12" width="9.28515625" bestFit="1" customWidth="1"/>
  </cols>
  <sheetData>
    <row r="1" spans="1:21" ht="14.45" customHeight="1" x14ac:dyDescent="0.25">
      <c r="A1" s="1" t="s">
        <v>33</v>
      </c>
      <c r="D1" s="2" t="s">
        <v>32</v>
      </c>
      <c r="L1" s="3"/>
    </row>
    <row r="2" spans="1:21" ht="16.149999999999999" customHeight="1" thickBot="1" x14ac:dyDescent="0.3">
      <c r="C2" s="1" t="s">
        <v>56</v>
      </c>
    </row>
    <row r="3" spans="1:21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1" ht="13.15" customHeight="1" x14ac:dyDescent="0.2">
      <c r="A4" s="8" t="s">
        <v>34</v>
      </c>
      <c r="B4" s="9"/>
      <c r="C4" s="10">
        <v>84</v>
      </c>
      <c r="D4" s="10">
        <v>56</v>
      </c>
      <c r="E4" s="10">
        <v>297</v>
      </c>
      <c r="F4" s="10">
        <v>780</v>
      </c>
      <c r="G4" s="10">
        <v>153</v>
      </c>
      <c r="H4" s="10">
        <v>25</v>
      </c>
      <c r="I4" s="10">
        <v>71</v>
      </c>
      <c r="J4" s="10">
        <v>3</v>
      </c>
      <c r="K4" s="11">
        <f>SUM(C4:J4)</f>
        <v>1469</v>
      </c>
      <c r="L4" s="12" t="s">
        <v>11</v>
      </c>
      <c r="M4" s="12" t="s">
        <v>43</v>
      </c>
      <c r="N4" s="43">
        <v>41951</v>
      </c>
      <c r="P4" s="12" t="s">
        <v>54</v>
      </c>
    </row>
    <row r="5" spans="1:21" ht="12" customHeight="1" x14ac:dyDescent="0.2">
      <c r="A5" s="8" t="s">
        <v>42</v>
      </c>
      <c r="B5" s="9"/>
      <c r="C5" s="10">
        <f>3+0</f>
        <v>3</v>
      </c>
      <c r="D5" s="10">
        <f>1+0</f>
        <v>1</v>
      </c>
      <c r="E5" s="10">
        <f>10+2</f>
        <v>12</v>
      </c>
      <c r="F5" s="10">
        <f>7+1</f>
        <v>8</v>
      </c>
      <c r="G5" s="10">
        <f>0+0</f>
        <v>0</v>
      </c>
      <c r="H5" s="10">
        <v>0</v>
      </c>
      <c r="I5" s="10">
        <v>0</v>
      </c>
      <c r="J5" s="10">
        <v>0</v>
      </c>
      <c r="K5" s="11">
        <f>SUM(C5:J5)</f>
        <v>24</v>
      </c>
      <c r="L5" s="12" t="s">
        <v>11</v>
      </c>
      <c r="M5" s="12" t="s">
        <v>44</v>
      </c>
      <c r="N5" s="12" t="s">
        <v>43</v>
      </c>
      <c r="O5" s="43">
        <v>41951</v>
      </c>
      <c r="P5" s="12" t="s">
        <v>12</v>
      </c>
      <c r="Q5" s="15" t="s">
        <v>45</v>
      </c>
      <c r="R5" s="15" t="s">
        <v>46</v>
      </c>
      <c r="S5" s="43">
        <v>41951</v>
      </c>
      <c r="T5">
        <v>21</v>
      </c>
      <c r="U5">
        <v>3</v>
      </c>
    </row>
    <row r="6" spans="1:21" ht="12" customHeight="1" x14ac:dyDescent="0.2">
      <c r="A6" s="8" t="s">
        <v>13</v>
      </c>
      <c r="B6" s="9"/>
      <c r="C6" s="13">
        <v>11.61</v>
      </c>
      <c r="D6" s="13">
        <v>7.37</v>
      </c>
      <c r="E6" s="13">
        <v>37.03</v>
      </c>
      <c r="F6" s="13">
        <v>53.86</v>
      </c>
      <c r="G6" s="13">
        <v>5.36</v>
      </c>
      <c r="H6" s="13">
        <v>0.31</v>
      </c>
      <c r="I6" s="13">
        <v>0</v>
      </c>
      <c r="J6" s="13">
        <v>0</v>
      </c>
      <c r="K6" s="11">
        <f>SUM(C6:J6)</f>
        <v>115.54</v>
      </c>
      <c r="L6" s="12" t="s">
        <v>11</v>
      </c>
      <c r="M6" s="12" t="s">
        <v>43</v>
      </c>
      <c r="N6" s="43">
        <v>41951</v>
      </c>
    </row>
    <row r="7" spans="1:21" ht="24.75" customHeight="1" x14ac:dyDescent="0.2">
      <c r="A7" s="8" t="s">
        <v>53</v>
      </c>
      <c r="B7" s="9"/>
      <c r="C7" s="14">
        <f t="shared" ref="C7:K7" si="0">C4-C5-C6</f>
        <v>69.39</v>
      </c>
      <c r="D7" s="14">
        <f t="shared" si="0"/>
        <v>47.63</v>
      </c>
      <c r="E7" s="14">
        <f t="shared" si="0"/>
        <v>247.97</v>
      </c>
      <c r="F7" s="14">
        <f t="shared" si="0"/>
        <v>718.14</v>
      </c>
      <c r="G7" s="14">
        <f t="shared" si="0"/>
        <v>147.63999999999999</v>
      </c>
      <c r="H7" s="14">
        <f t="shared" si="0"/>
        <v>24.69</v>
      </c>
      <c r="I7" s="14">
        <f t="shared" si="0"/>
        <v>71</v>
      </c>
      <c r="J7" s="14">
        <f t="shared" si="0"/>
        <v>3</v>
      </c>
      <c r="K7" s="11">
        <f t="shared" si="0"/>
        <v>1329.46</v>
      </c>
      <c r="L7" s="15"/>
    </row>
    <row r="8" spans="1:21" ht="22.9" customHeight="1" x14ac:dyDescent="0.2">
      <c r="A8" s="8" t="s">
        <v>37</v>
      </c>
      <c r="B8" s="9"/>
      <c r="C8" s="14">
        <v>1</v>
      </c>
      <c r="D8" s="14">
        <v>0</v>
      </c>
      <c r="E8" s="14">
        <v>2</v>
      </c>
      <c r="F8" s="14">
        <v>7</v>
      </c>
      <c r="G8" s="14">
        <v>0</v>
      </c>
      <c r="H8" s="14">
        <v>0</v>
      </c>
      <c r="I8" s="14">
        <v>2</v>
      </c>
      <c r="J8" s="14">
        <v>0</v>
      </c>
      <c r="K8" s="11">
        <f>SUM(C8:J8)</f>
        <v>12</v>
      </c>
      <c r="L8" s="15" t="s">
        <v>11</v>
      </c>
      <c r="M8" s="12" t="s">
        <v>43</v>
      </c>
      <c r="N8" s="43">
        <v>41951</v>
      </c>
    </row>
    <row r="9" spans="1:21" ht="23.45" customHeight="1" x14ac:dyDescent="0.2">
      <c r="A9" s="8" t="s">
        <v>15</v>
      </c>
      <c r="B9" s="16">
        <f t="shared" ref="B9:I9" si="1">C8</f>
        <v>1</v>
      </c>
      <c r="C9" s="16">
        <f t="shared" si="1"/>
        <v>0</v>
      </c>
      <c r="D9" s="16">
        <f t="shared" si="1"/>
        <v>2</v>
      </c>
      <c r="E9" s="16">
        <f t="shared" si="1"/>
        <v>7</v>
      </c>
      <c r="F9" s="16">
        <f t="shared" si="1"/>
        <v>0</v>
      </c>
      <c r="G9" s="16">
        <f t="shared" si="1"/>
        <v>0</v>
      </c>
      <c r="H9" s="16">
        <f t="shared" si="1"/>
        <v>2</v>
      </c>
      <c r="I9" s="16">
        <f t="shared" si="1"/>
        <v>0</v>
      </c>
      <c r="J9" s="9"/>
      <c r="K9" s="17">
        <f>SUM(B9:I9)</f>
        <v>12</v>
      </c>
      <c r="L9" s="15" t="s">
        <v>11</v>
      </c>
      <c r="M9" s="12" t="s">
        <v>43</v>
      </c>
      <c r="N9" s="43">
        <v>41951</v>
      </c>
    </row>
    <row r="10" spans="1:21" ht="25.15" customHeight="1" x14ac:dyDescent="0.2">
      <c r="A10" s="8" t="s">
        <v>16</v>
      </c>
      <c r="B10" s="18">
        <f t="shared" ref="B10:K10" si="2">SUM(B7-B8+B9)</f>
        <v>1</v>
      </c>
      <c r="C10" s="18">
        <f t="shared" si="2"/>
        <v>68.39</v>
      </c>
      <c r="D10" s="18">
        <f t="shared" si="2"/>
        <v>49.63</v>
      </c>
      <c r="E10" s="18">
        <f t="shared" si="2"/>
        <v>252.97</v>
      </c>
      <c r="F10" s="18">
        <f t="shared" si="2"/>
        <v>711.14</v>
      </c>
      <c r="G10" s="18">
        <f t="shared" si="2"/>
        <v>147.63999999999999</v>
      </c>
      <c r="H10" s="18">
        <f t="shared" si="2"/>
        <v>26.69</v>
      </c>
      <c r="I10" s="18">
        <f t="shared" si="2"/>
        <v>69</v>
      </c>
      <c r="J10" s="18">
        <f t="shared" si="2"/>
        <v>3</v>
      </c>
      <c r="K10" s="19">
        <f t="shared" si="2"/>
        <v>1329.46</v>
      </c>
      <c r="L10" s="15"/>
    </row>
    <row r="11" spans="1:21" s="12" customFormat="1" ht="22.15" customHeight="1" x14ac:dyDescent="0.2">
      <c r="A11" s="8" t="s">
        <v>17</v>
      </c>
      <c r="B11" s="14">
        <v>0</v>
      </c>
      <c r="C11" s="20">
        <v>0</v>
      </c>
      <c r="D11" s="20">
        <v>0</v>
      </c>
      <c r="E11" s="20">
        <v>0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19">
        <f>SUM(B11:J11)</f>
        <v>1</v>
      </c>
      <c r="L11" s="15" t="s">
        <v>11</v>
      </c>
      <c r="M11" s="12" t="s">
        <v>47</v>
      </c>
      <c r="O11" s="12" t="s">
        <v>48</v>
      </c>
    </row>
    <row r="12" spans="1:21" ht="22.15" customHeight="1" x14ac:dyDescent="0.2">
      <c r="A12" s="8" t="s">
        <v>41</v>
      </c>
      <c r="B12" s="14">
        <f>0+0</f>
        <v>0</v>
      </c>
      <c r="C12" s="14">
        <f>42+1</f>
        <v>43</v>
      </c>
      <c r="D12" s="14">
        <f>23+2</f>
        <v>25</v>
      </c>
      <c r="E12" s="14">
        <f>100+11</f>
        <v>111</v>
      </c>
      <c r="F12" s="14">
        <f>205+15</f>
        <v>220</v>
      </c>
      <c r="G12" s="14">
        <f>36+3</f>
        <v>39</v>
      </c>
      <c r="H12" s="14">
        <f>6+1</f>
        <v>7</v>
      </c>
      <c r="I12" s="14">
        <f>14+1</f>
        <v>15</v>
      </c>
      <c r="J12" s="14">
        <f>0+0</f>
        <v>0</v>
      </c>
      <c r="K12" s="19">
        <f>SUM(B12:J12)</f>
        <v>460</v>
      </c>
      <c r="L12" s="15" t="s">
        <v>11</v>
      </c>
      <c r="M12" s="12" t="s">
        <v>43</v>
      </c>
      <c r="N12" s="43">
        <v>41951</v>
      </c>
    </row>
    <row r="13" spans="1:21" s="12" customFormat="1" ht="22.9" customHeight="1" x14ac:dyDescent="0.2">
      <c r="A13" s="8" t="s">
        <v>38</v>
      </c>
      <c r="B13" s="21">
        <v>0</v>
      </c>
      <c r="C13" s="21">
        <f>C29</f>
        <v>0</v>
      </c>
      <c r="D13" s="21">
        <f t="shared" ref="D13:J13" si="3">D29</f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2">
        <f>SUM(B13:J13)</f>
        <v>0</v>
      </c>
      <c r="L13" s="23" t="s">
        <v>11</v>
      </c>
      <c r="M13" s="12" t="s">
        <v>50</v>
      </c>
    </row>
    <row r="14" spans="1:21" ht="21" customHeight="1" x14ac:dyDescent="0.2">
      <c r="A14" s="8" t="s">
        <v>39</v>
      </c>
      <c r="B14" s="21">
        <v>0</v>
      </c>
      <c r="C14" s="21">
        <v>0</v>
      </c>
      <c r="D14" s="21">
        <v>4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f>SUM(B14:J14)</f>
        <v>5</v>
      </c>
      <c r="L14" s="15"/>
      <c r="M14" s="12" t="s">
        <v>49</v>
      </c>
      <c r="O14" s="12" t="s">
        <v>48</v>
      </c>
      <c r="P14" s="12"/>
    </row>
    <row r="15" spans="1:21" ht="22.9" customHeight="1" x14ac:dyDescent="0.2">
      <c r="A15" s="8" t="s">
        <v>18</v>
      </c>
      <c r="B15" s="14">
        <f t="shared" ref="B15:K15" si="4">SUM(B10-B11-B12-B13-B14)</f>
        <v>1</v>
      </c>
      <c r="C15" s="14">
        <f t="shared" si="4"/>
        <v>25.39</v>
      </c>
      <c r="D15" s="14">
        <f t="shared" si="4"/>
        <v>20.630000000000003</v>
      </c>
      <c r="E15" s="14">
        <f t="shared" si="4"/>
        <v>140.97</v>
      </c>
      <c r="F15" s="14">
        <f t="shared" si="4"/>
        <v>491.14</v>
      </c>
      <c r="G15" s="14">
        <f t="shared" si="4"/>
        <v>107.63999999999999</v>
      </c>
      <c r="H15" s="14">
        <f t="shared" si="4"/>
        <v>19.690000000000001</v>
      </c>
      <c r="I15" s="14">
        <f t="shared" si="4"/>
        <v>54</v>
      </c>
      <c r="J15" s="14">
        <f t="shared" si="4"/>
        <v>3</v>
      </c>
      <c r="K15" s="11">
        <f t="shared" si="4"/>
        <v>863.46</v>
      </c>
    </row>
    <row r="16" spans="1:21" ht="34.9" customHeight="1" x14ac:dyDescent="0.2">
      <c r="A16" s="8" t="s">
        <v>19</v>
      </c>
      <c r="B16" s="24">
        <f>SUM((B11*0.75)+(B12*0.75)+(B13*0.5)+(B14*0.5)+B15)</f>
        <v>1</v>
      </c>
      <c r="C16" s="24">
        <f t="shared" ref="C16:J16" si="5">SUM((C11*0.75)+(C12*0.75)+(C13*0.5)+(C14*1.5)+C15)</f>
        <v>57.64</v>
      </c>
      <c r="D16" s="24">
        <f t="shared" si="5"/>
        <v>45.38</v>
      </c>
      <c r="E16" s="24">
        <f t="shared" si="5"/>
        <v>225.72</v>
      </c>
      <c r="F16" s="24">
        <f t="shared" si="5"/>
        <v>656.14</v>
      </c>
      <c r="G16" s="24">
        <f t="shared" si="5"/>
        <v>137.63999999999999</v>
      </c>
      <c r="H16" s="24">
        <f t="shared" si="5"/>
        <v>24.94</v>
      </c>
      <c r="I16" s="24">
        <f t="shared" si="5"/>
        <v>65.25</v>
      </c>
      <c r="J16" s="24">
        <f t="shared" si="5"/>
        <v>3</v>
      </c>
      <c r="K16" s="25">
        <f>SUM(B16:J16)</f>
        <v>1216.71</v>
      </c>
    </row>
    <row r="17" spans="1:15" ht="13.15" customHeight="1" x14ac:dyDescent="0.2">
      <c r="A17" s="8" t="s">
        <v>20</v>
      </c>
      <c r="B17" s="26" t="s">
        <v>21</v>
      </c>
      <c r="C17" s="26" t="s">
        <v>22</v>
      </c>
      <c r="D17" s="27" t="s">
        <v>23</v>
      </c>
      <c r="E17" s="27" t="s">
        <v>24</v>
      </c>
      <c r="F17" s="27">
        <v>1</v>
      </c>
      <c r="G17" s="27" t="s">
        <v>25</v>
      </c>
      <c r="H17" s="27" t="s">
        <v>26</v>
      </c>
      <c r="I17" s="27" t="s">
        <v>27</v>
      </c>
      <c r="J17" s="27" t="s">
        <v>28</v>
      </c>
      <c r="K17" s="17"/>
    </row>
    <row r="18" spans="1:15" ht="3.6" hidden="1" customHeight="1" x14ac:dyDescent="0.2">
      <c r="A18" s="8"/>
      <c r="B18" s="26"/>
      <c r="C18" s="26"/>
      <c r="D18" s="27"/>
      <c r="E18" s="27"/>
      <c r="F18" s="27"/>
      <c r="G18" s="27"/>
      <c r="H18" s="27"/>
      <c r="I18" s="27"/>
      <c r="J18" s="27"/>
      <c r="K18" s="17"/>
    </row>
    <row r="19" spans="1:15" ht="17.45" customHeight="1" x14ac:dyDescent="0.25">
      <c r="A19" s="8" t="s">
        <v>29</v>
      </c>
      <c r="B19" s="28">
        <f>ROUND(B16/9*5,2)</f>
        <v>0.56000000000000005</v>
      </c>
      <c r="C19" s="28">
        <f>ROUND(C16/9*6,2)</f>
        <v>38.43</v>
      </c>
      <c r="D19" s="28">
        <f>ROUND(D16/9*7,2)</f>
        <v>35.299999999999997</v>
      </c>
      <c r="E19" s="28">
        <f>ROUND(E16/9*8,2)</f>
        <v>200.64</v>
      </c>
      <c r="F19" s="28">
        <f>ROUND(F16*F17,2)</f>
        <v>656.14</v>
      </c>
      <c r="G19" s="28">
        <f>ROUND(G16/9*11,2)</f>
        <v>168.23</v>
      </c>
      <c r="H19" s="28">
        <f>ROUND(H16/9*13,2)</f>
        <v>36.020000000000003</v>
      </c>
      <c r="I19" s="28">
        <f>ROUND(I16/9*15,2)</f>
        <v>108.75</v>
      </c>
      <c r="J19" s="28">
        <f>ROUND(J16/9*18,2)</f>
        <v>6</v>
      </c>
      <c r="K19" s="29">
        <f>SUM(B19:J19)</f>
        <v>1250.07</v>
      </c>
    </row>
    <row r="20" spans="1:15" ht="25.15" customHeight="1" x14ac:dyDescent="0.25">
      <c r="A20" s="8" t="s">
        <v>40</v>
      </c>
      <c r="B20" s="30"/>
      <c r="C20" s="31"/>
      <c r="D20" s="16"/>
      <c r="E20" s="16"/>
      <c r="F20" s="16"/>
      <c r="G20" s="16"/>
      <c r="H20" s="16"/>
      <c r="I20" s="16"/>
      <c r="J20" s="16"/>
      <c r="K20" s="25">
        <v>0</v>
      </c>
      <c r="L20" s="32"/>
    </row>
    <row r="21" spans="1:15" ht="24.6" customHeight="1" x14ac:dyDescent="0.25">
      <c r="A21" s="8" t="s">
        <v>30</v>
      </c>
      <c r="B21" s="30"/>
      <c r="C21" s="31"/>
      <c r="D21" s="16"/>
      <c r="E21" s="16"/>
      <c r="F21" s="16"/>
      <c r="G21" s="16"/>
      <c r="H21" s="16"/>
      <c r="I21" s="16"/>
      <c r="J21" s="16"/>
      <c r="K21" s="29">
        <f>K19</f>
        <v>1250.07</v>
      </c>
      <c r="M21" s="33"/>
    </row>
    <row r="22" spans="1:15" ht="15.6" customHeight="1" thickBot="1" x14ac:dyDescent="0.3">
      <c r="A22" s="34" t="s">
        <v>52</v>
      </c>
      <c r="B22" s="35"/>
      <c r="C22" s="36"/>
      <c r="D22" s="36"/>
      <c r="E22" s="36"/>
      <c r="F22" s="36"/>
      <c r="G22" s="36"/>
      <c r="H22" s="36"/>
      <c r="I22" s="36"/>
      <c r="J22" s="36"/>
      <c r="K22" s="42">
        <f>SUM(K21/100*97.5)</f>
        <v>1218.81825</v>
      </c>
      <c r="M22" s="33"/>
    </row>
    <row r="23" spans="1:15" x14ac:dyDescent="0.2">
      <c r="F23" s="32"/>
      <c r="G23" s="37"/>
      <c r="H23" s="33"/>
      <c r="J23" s="33"/>
      <c r="K23" s="37"/>
      <c r="N23" s="12"/>
    </row>
    <row r="24" spans="1:15" x14ac:dyDescent="0.2">
      <c r="A24" s="40" t="s">
        <v>35</v>
      </c>
      <c r="F24" s="32"/>
      <c r="G24" s="37"/>
      <c r="H24" s="33"/>
      <c r="J24" s="33" t="s">
        <v>36</v>
      </c>
      <c r="K24" s="41">
        <v>1220.8</v>
      </c>
      <c r="L24" s="33">
        <f>SUM((K22-K24)/K24)</f>
        <v>-1.6233207732633684E-3</v>
      </c>
      <c r="O24" s="12"/>
    </row>
    <row r="27" spans="1:15" x14ac:dyDescent="0.2">
      <c r="A27" s="12" t="s">
        <v>51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t="s">
        <v>11</v>
      </c>
      <c r="M27" s="12" t="s">
        <v>46</v>
      </c>
      <c r="N27" s="43">
        <v>41951</v>
      </c>
      <c r="O27" s="12" t="s">
        <v>11</v>
      </c>
    </row>
    <row r="28" spans="1:15" x14ac:dyDescent="0.2">
      <c r="A28" t="s">
        <v>31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f>SUM(C28:J28)</f>
        <v>0</v>
      </c>
      <c r="L28" t="s">
        <v>11</v>
      </c>
      <c r="M28" s="12" t="s">
        <v>43</v>
      </c>
      <c r="N28" s="43">
        <v>41951</v>
      </c>
      <c r="O28" s="12" t="s">
        <v>11</v>
      </c>
    </row>
    <row r="29" spans="1:15" x14ac:dyDescent="0.2">
      <c r="C29" s="38">
        <f>C27+C28</f>
        <v>0</v>
      </c>
      <c r="D29" s="38">
        <f t="shared" ref="D29:K29" si="6">D27+D28</f>
        <v>0</v>
      </c>
      <c r="E29" s="38">
        <f t="shared" si="6"/>
        <v>0</v>
      </c>
      <c r="F29" s="38">
        <f t="shared" si="6"/>
        <v>0</v>
      </c>
      <c r="G29" s="38">
        <f t="shared" si="6"/>
        <v>0</v>
      </c>
      <c r="H29" s="38">
        <f t="shared" si="6"/>
        <v>0</v>
      </c>
      <c r="I29" s="38">
        <f t="shared" si="6"/>
        <v>0</v>
      </c>
      <c r="J29" s="38">
        <f t="shared" si="6"/>
        <v>0</v>
      </c>
      <c r="K29" s="38">
        <f t="shared" si="6"/>
        <v>0</v>
      </c>
    </row>
    <row r="30" spans="1:15" x14ac:dyDescent="0.2">
      <c r="C30" s="38"/>
      <c r="D30" s="38"/>
      <c r="E30" s="38"/>
      <c r="F30" s="38"/>
      <c r="G30" s="38"/>
      <c r="H30" s="38"/>
      <c r="I30" s="38"/>
      <c r="J30" s="38"/>
      <c r="K30" s="38"/>
    </row>
    <row r="31" spans="1:15" x14ac:dyDescent="0.2"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C14" sqref="C14:J14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9.28515625" customWidth="1"/>
    <col min="11" max="11" width="9.85546875" customWidth="1"/>
    <col min="12" max="12" width="9.28515625" bestFit="1" customWidth="1"/>
  </cols>
  <sheetData>
    <row r="1" spans="1:21" ht="14.45" customHeight="1" x14ac:dyDescent="0.25">
      <c r="A1" s="1" t="s">
        <v>33</v>
      </c>
      <c r="D1" s="2" t="s">
        <v>32</v>
      </c>
      <c r="L1" s="3"/>
    </row>
    <row r="2" spans="1:21" ht="16.149999999999999" customHeight="1" thickBot="1" x14ac:dyDescent="0.3">
      <c r="C2" s="1" t="s">
        <v>57</v>
      </c>
    </row>
    <row r="3" spans="1:21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1" ht="13.15" customHeight="1" x14ac:dyDescent="0.2">
      <c r="A4" s="8" t="s">
        <v>34</v>
      </c>
      <c r="B4" s="9"/>
      <c r="C4" s="10">
        <v>15</v>
      </c>
      <c r="D4" s="10">
        <v>281</v>
      </c>
      <c r="E4" s="10">
        <v>274</v>
      </c>
      <c r="F4" s="10">
        <v>990</v>
      </c>
      <c r="G4" s="10">
        <v>103</v>
      </c>
      <c r="H4" s="10">
        <v>90</v>
      </c>
      <c r="I4" s="10">
        <v>21</v>
      </c>
      <c r="J4" s="10">
        <v>0</v>
      </c>
      <c r="K4" s="11">
        <f>SUM(C4:J4)</f>
        <v>1774</v>
      </c>
      <c r="L4" s="12" t="s">
        <v>11</v>
      </c>
      <c r="M4" s="12" t="s">
        <v>43</v>
      </c>
      <c r="N4" s="43">
        <v>41951</v>
      </c>
      <c r="P4" s="12" t="s">
        <v>54</v>
      </c>
    </row>
    <row r="5" spans="1:21" ht="12" customHeight="1" x14ac:dyDescent="0.2">
      <c r="A5" s="8" t="s">
        <v>42</v>
      </c>
      <c r="B5" s="9"/>
      <c r="C5" s="10">
        <f>3+0</f>
        <v>3</v>
      </c>
      <c r="D5" s="10">
        <f>3+0</f>
        <v>3</v>
      </c>
      <c r="E5" s="10">
        <f>8+0</f>
        <v>8</v>
      </c>
      <c r="F5" s="10">
        <f>13+0</f>
        <v>13</v>
      </c>
      <c r="G5" s="10">
        <f>1+0</f>
        <v>1</v>
      </c>
      <c r="H5" s="10">
        <f>2+0</f>
        <v>2</v>
      </c>
      <c r="I5" s="10">
        <f>0+0</f>
        <v>0</v>
      </c>
      <c r="J5" s="10">
        <f>0+0</f>
        <v>0</v>
      </c>
      <c r="K5" s="11">
        <f>SUM(C5:J5)</f>
        <v>30</v>
      </c>
      <c r="L5" s="12" t="s">
        <v>11</v>
      </c>
      <c r="M5" s="12" t="s">
        <v>44</v>
      </c>
      <c r="N5" s="12" t="s">
        <v>43</v>
      </c>
      <c r="O5" s="43">
        <v>41951</v>
      </c>
      <c r="P5" s="12" t="s">
        <v>12</v>
      </c>
      <c r="Q5" s="15" t="s">
        <v>45</v>
      </c>
      <c r="R5" s="15" t="s">
        <v>46</v>
      </c>
      <c r="S5" s="43">
        <v>41951</v>
      </c>
      <c r="T5">
        <v>30</v>
      </c>
      <c r="U5">
        <v>0</v>
      </c>
    </row>
    <row r="6" spans="1:21" ht="12" customHeight="1" x14ac:dyDescent="0.2">
      <c r="A6" s="8" t="s">
        <v>13</v>
      </c>
      <c r="B6" s="9"/>
      <c r="C6" s="13">
        <v>0</v>
      </c>
      <c r="D6" s="13">
        <v>85.14</v>
      </c>
      <c r="E6" s="13">
        <v>41.53</v>
      </c>
      <c r="F6" s="13">
        <v>54.35</v>
      </c>
      <c r="G6" s="13">
        <v>3.72</v>
      </c>
      <c r="H6" s="13">
        <v>2.29</v>
      </c>
      <c r="I6" s="13">
        <v>0</v>
      </c>
      <c r="J6" s="13">
        <v>0</v>
      </c>
      <c r="K6" s="11">
        <f>SUM(C6:J6)</f>
        <v>187.03</v>
      </c>
      <c r="L6" s="12" t="s">
        <v>11</v>
      </c>
      <c r="M6" s="12" t="s">
        <v>43</v>
      </c>
      <c r="N6" s="43">
        <v>41951</v>
      </c>
    </row>
    <row r="7" spans="1:21" ht="24.75" customHeight="1" x14ac:dyDescent="0.2">
      <c r="A7" s="8" t="s">
        <v>53</v>
      </c>
      <c r="B7" s="9"/>
      <c r="C7" s="14">
        <f t="shared" ref="C7:K7" si="0">C4-C5-C6</f>
        <v>12</v>
      </c>
      <c r="D7" s="14">
        <f t="shared" si="0"/>
        <v>192.86</v>
      </c>
      <c r="E7" s="14">
        <f t="shared" si="0"/>
        <v>224.47</v>
      </c>
      <c r="F7" s="14">
        <f t="shared" si="0"/>
        <v>922.65</v>
      </c>
      <c r="G7" s="14">
        <f t="shared" si="0"/>
        <v>98.28</v>
      </c>
      <c r="H7" s="14">
        <f t="shared" si="0"/>
        <v>85.71</v>
      </c>
      <c r="I7" s="14">
        <f t="shared" si="0"/>
        <v>21</v>
      </c>
      <c r="J7" s="14">
        <f t="shared" si="0"/>
        <v>0</v>
      </c>
      <c r="K7" s="11">
        <f t="shared" si="0"/>
        <v>1556.97</v>
      </c>
      <c r="L7" s="15"/>
    </row>
    <row r="8" spans="1:21" ht="22.9" customHeight="1" x14ac:dyDescent="0.2">
      <c r="A8" s="8" t="s">
        <v>37</v>
      </c>
      <c r="B8" s="9"/>
      <c r="C8" s="14">
        <v>0</v>
      </c>
      <c r="D8" s="14">
        <v>0</v>
      </c>
      <c r="E8" s="14">
        <v>2</v>
      </c>
      <c r="F8" s="14">
        <v>4</v>
      </c>
      <c r="G8" s="14">
        <v>0</v>
      </c>
      <c r="H8" s="14">
        <v>0</v>
      </c>
      <c r="I8" s="14">
        <v>0</v>
      </c>
      <c r="J8" s="14">
        <v>0</v>
      </c>
      <c r="K8" s="11">
        <f>SUM(C8:J8)</f>
        <v>6</v>
      </c>
      <c r="L8" s="15" t="s">
        <v>11</v>
      </c>
      <c r="M8" s="12" t="s">
        <v>43</v>
      </c>
      <c r="N8" s="43">
        <v>41951</v>
      </c>
    </row>
    <row r="9" spans="1:21" ht="23.45" customHeight="1" x14ac:dyDescent="0.2">
      <c r="A9" s="8" t="s">
        <v>15</v>
      </c>
      <c r="B9" s="16">
        <f t="shared" ref="B9:I9" si="1">C8</f>
        <v>0</v>
      </c>
      <c r="C9" s="16">
        <f t="shared" si="1"/>
        <v>0</v>
      </c>
      <c r="D9" s="16">
        <f t="shared" si="1"/>
        <v>2</v>
      </c>
      <c r="E9" s="16">
        <f t="shared" si="1"/>
        <v>4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9"/>
      <c r="K9" s="17">
        <f>SUM(B9:I9)</f>
        <v>6</v>
      </c>
      <c r="L9" s="15" t="s">
        <v>11</v>
      </c>
      <c r="M9" s="12" t="s">
        <v>43</v>
      </c>
      <c r="N9" s="43">
        <v>41951</v>
      </c>
    </row>
    <row r="10" spans="1:21" ht="25.15" customHeight="1" x14ac:dyDescent="0.2">
      <c r="A10" s="8" t="s">
        <v>16</v>
      </c>
      <c r="B10" s="18">
        <f t="shared" ref="B10:K10" si="2">SUM(B7-B8+B9)</f>
        <v>0</v>
      </c>
      <c r="C10" s="18">
        <f t="shared" si="2"/>
        <v>12</v>
      </c>
      <c r="D10" s="18">
        <f t="shared" si="2"/>
        <v>194.86</v>
      </c>
      <c r="E10" s="18">
        <f t="shared" si="2"/>
        <v>226.47</v>
      </c>
      <c r="F10" s="18">
        <f t="shared" si="2"/>
        <v>918.65</v>
      </c>
      <c r="G10" s="18">
        <f t="shared" si="2"/>
        <v>98.28</v>
      </c>
      <c r="H10" s="18">
        <f t="shared" si="2"/>
        <v>85.71</v>
      </c>
      <c r="I10" s="18">
        <f t="shared" si="2"/>
        <v>21</v>
      </c>
      <c r="J10" s="18">
        <f t="shared" si="2"/>
        <v>0</v>
      </c>
      <c r="K10" s="19">
        <f t="shared" si="2"/>
        <v>1556.97</v>
      </c>
      <c r="L10" s="15"/>
    </row>
    <row r="11" spans="1:21" s="12" customFormat="1" ht="22.15" customHeight="1" x14ac:dyDescent="0.2">
      <c r="A11" s="8" t="s">
        <v>17</v>
      </c>
      <c r="B11" s="14">
        <v>0</v>
      </c>
      <c r="C11" s="20">
        <v>0</v>
      </c>
      <c r="D11" s="20">
        <v>0</v>
      </c>
      <c r="E11" s="20">
        <v>0</v>
      </c>
      <c r="F11" s="20">
        <v>0</v>
      </c>
      <c r="G11" s="20">
        <v>1</v>
      </c>
      <c r="H11" s="20">
        <v>0</v>
      </c>
      <c r="I11" s="20">
        <v>0</v>
      </c>
      <c r="J11" s="20">
        <v>0</v>
      </c>
      <c r="K11" s="19">
        <f>SUM(B11:J11)</f>
        <v>1</v>
      </c>
      <c r="L11" s="15" t="s">
        <v>11</v>
      </c>
      <c r="M11" s="12" t="s">
        <v>47</v>
      </c>
      <c r="O11" s="12" t="s">
        <v>48</v>
      </c>
    </row>
    <row r="12" spans="1:21" ht="22.15" customHeight="1" x14ac:dyDescent="0.2">
      <c r="A12" s="8" t="s">
        <v>41</v>
      </c>
      <c r="B12" s="14">
        <f>0+0</f>
        <v>0</v>
      </c>
      <c r="C12" s="14">
        <f>11+0</f>
        <v>11</v>
      </c>
      <c r="D12" s="14">
        <f>164+2</f>
        <v>166</v>
      </c>
      <c r="E12" s="14">
        <f>93+6</f>
        <v>99</v>
      </c>
      <c r="F12" s="14">
        <f>199+11</f>
        <v>210</v>
      </c>
      <c r="G12" s="14">
        <f>19+2</f>
        <v>21</v>
      </c>
      <c r="H12" s="14">
        <f>14+2</f>
        <v>16</v>
      </c>
      <c r="I12" s="14">
        <f>3+0</f>
        <v>3</v>
      </c>
      <c r="J12" s="14">
        <f>0+0</f>
        <v>0</v>
      </c>
      <c r="K12" s="19">
        <f>SUM(B12:J12)</f>
        <v>526</v>
      </c>
      <c r="L12" s="15" t="s">
        <v>11</v>
      </c>
      <c r="M12" s="12" t="s">
        <v>43</v>
      </c>
      <c r="N12" s="43">
        <v>41951</v>
      </c>
    </row>
    <row r="13" spans="1:21" s="12" customFormat="1" ht="22.9" customHeight="1" x14ac:dyDescent="0.2">
      <c r="A13" s="8" t="s">
        <v>38</v>
      </c>
      <c r="B13" s="21">
        <v>0</v>
      </c>
      <c r="C13" s="21">
        <f>C29</f>
        <v>0</v>
      </c>
      <c r="D13" s="21">
        <f t="shared" ref="D13:J13" si="3">D29</f>
        <v>0</v>
      </c>
      <c r="E13" s="21">
        <f t="shared" si="3"/>
        <v>1</v>
      </c>
      <c r="F13" s="21">
        <f t="shared" si="3"/>
        <v>0</v>
      </c>
      <c r="G13" s="21">
        <f t="shared" si="3"/>
        <v>1</v>
      </c>
      <c r="H13" s="21">
        <f t="shared" si="3"/>
        <v>0</v>
      </c>
      <c r="I13" s="21">
        <f t="shared" si="3"/>
        <v>0</v>
      </c>
      <c r="J13" s="21">
        <f t="shared" si="3"/>
        <v>0</v>
      </c>
      <c r="K13" s="22">
        <f>SUM(B13:J13)</f>
        <v>2</v>
      </c>
      <c r="L13" s="23" t="s">
        <v>11</v>
      </c>
      <c r="M13" s="12" t="s">
        <v>50</v>
      </c>
    </row>
    <row r="14" spans="1:21" ht="21" customHeight="1" x14ac:dyDescent="0.2">
      <c r="A14" s="8" t="s">
        <v>39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2">
        <f>SUM(B14:J14)</f>
        <v>1</v>
      </c>
      <c r="L14" s="15"/>
      <c r="M14" s="12" t="s">
        <v>49</v>
      </c>
      <c r="O14" s="12" t="s">
        <v>48</v>
      </c>
      <c r="P14" s="12"/>
    </row>
    <row r="15" spans="1:21" ht="22.9" customHeight="1" x14ac:dyDescent="0.2">
      <c r="A15" s="8" t="s">
        <v>18</v>
      </c>
      <c r="B15" s="14">
        <f t="shared" ref="B15:K15" si="4">SUM(B10-B11-B12-B13-B14)</f>
        <v>0</v>
      </c>
      <c r="C15" s="14">
        <f t="shared" si="4"/>
        <v>1</v>
      </c>
      <c r="D15" s="14">
        <f t="shared" si="4"/>
        <v>28.860000000000014</v>
      </c>
      <c r="E15" s="14">
        <f t="shared" si="4"/>
        <v>126.47</v>
      </c>
      <c r="F15" s="14">
        <f t="shared" si="4"/>
        <v>708.65</v>
      </c>
      <c r="G15" s="14">
        <f t="shared" si="4"/>
        <v>75.28</v>
      </c>
      <c r="H15" s="14">
        <f t="shared" si="4"/>
        <v>68.709999999999994</v>
      </c>
      <c r="I15" s="14">
        <f t="shared" si="4"/>
        <v>18</v>
      </c>
      <c r="J15" s="14">
        <f t="shared" si="4"/>
        <v>0</v>
      </c>
      <c r="K15" s="11">
        <f t="shared" si="4"/>
        <v>1026.97</v>
      </c>
    </row>
    <row r="16" spans="1:21" ht="34.9" customHeight="1" x14ac:dyDescent="0.2">
      <c r="A16" s="8" t="s">
        <v>19</v>
      </c>
      <c r="B16" s="24">
        <f>SUM((B11*0.75)+(B12*0.75)+(B13*0.5)+(B14*0.5)+B15)</f>
        <v>0</v>
      </c>
      <c r="C16" s="24">
        <f t="shared" ref="C16:J16" si="5">SUM((C11*0.75)+(C12*0.75)+(C13*0.5)+(C14*1.5)+C15)</f>
        <v>9.25</v>
      </c>
      <c r="D16" s="24">
        <f t="shared" si="5"/>
        <v>153.36000000000001</v>
      </c>
      <c r="E16" s="24">
        <f t="shared" si="5"/>
        <v>201.22</v>
      </c>
      <c r="F16" s="24">
        <f t="shared" si="5"/>
        <v>866.15</v>
      </c>
      <c r="G16" s="24">
        <f t="shared" si="5"/>
        <v>92.28</v>
      </c>
      <c r="H16" s="24">
        <f t="shared" si="5"/>
        <v>82.21</v>
      </c>
      <c r="I16" s="24">
        <f t="shared" si="5"/>
        <v>20.25</v>
      </c>
      <c r="J16" s="24">
        <f t="shared" si="5"/>
        <v>0</v>
      </c>
      <c r="K16" s="25">
        <f>SUM(B16:J16)</f>
        <v>1424.72</v>
      </c>
    </row>
    <row r="17" spans="1:15" ht="13.15" customHeight="1" x14ac:dyDescent="0.2">
      <c r="A17" s="8" t="s">
        <v>20</v>
      </c>
      <c r="B17" s="26" t="s">
        <v>21</v>
      </c>
      <c r="C17" s="26" t="s">
        <v>22</v>
      </c>
      <c r="D17" s="27" t="s">
        <v>23</v>
      </c>
      <c r="E17" s="27" t="s">
        <v>24</v>
      </c>
      <c r="F17" s="27">
        <v>1</v>
      </c>
      <c r="G17" s="27" t="s">
        <v>25</v>
      </c>
      <c r="H17" s="27" t="s">
        <v>26</v>
      </c>
      <c r="I17" s="27" t="s">
        <v>27</v>
      </c>
      <c r="J17" s="27" t="s">
        <v>28</v>
      </c>
      <c r="K17" s="17"/>
    </row>
    <row r="18" spans="1:15" ht="3.6" hidden="1" customHeight="1" x14ac:dyDescent="0.2">
      <c r="A18" s="8"/>
      <c r="B18" s="26"/>
      <c r="C18" s="26"/>
      <c r="D18" s="27"/>
      <c r="E18" s="27"/>
      <c r="F18" s="27"/>
      <c r="G18" s="27"/>
      <c r="H18" s="27"/>
      <c r="I18" s="27"/>
      <c r="J18" s="27"/>
      <c r="K18" s="17"/>
    </row>
    <row r="19" spans="1:15" ht="17.45" customHeight="1" x14ac:dyDescent="0.25">
      <c r="A19" s="8" t="s">
        <v>29</v>
      </c>
      <c r="B19" s="28">
        <f>ROUND(B16/9*5,2)</f>
        <v>0</v>
      </c>
      <c r="C19" s="28">
        <f>ROUND(C16/9*6,2)</f>
        <v>6.17</v>
      </c>
      <c r="D19" s="28">
        <f>ROUND(D16/9*7,2)</f>
        <v>119.28</v>
      </c>
      <c r="E19" s="28">
        <f>ROUND(E16/9*8,2)</f>
        <v>178.86</v>
      </c>
      <c r="F19" s="28">
        <f>ROUND(F16*F17,2)</f>
        <v>866.15</v>
      </c>
      <c r="G19" s="28">
        <f>ROUND(G16/9*11,2)</f>
        <v>112.79</v>
      </c>
      <c r="H19" s="28">
        <f>ROUND(H16/9*13,2)</f>
        <v>118.75</v>
      </c>
      <c r="I19" s="28">
        <f>ROUND(I16/9*15,2)</f>
        <v>33.75</v>
      </c>
      <c r="J19" s="28">
        <f>ROUND(J16/9*18,2)</f>
        <v>0</v>
      </c>
      <c r="K19" s="29">
        <f>SUM(B19:J19)</f>
        <v>1435.75</v>
      </c>
    </row>
    <row r="20" spans="1:15" ht="25.15" customHeight="1" x14ac:dyDescent="0.25">
      <c r="A20" s="8" t="s">
        <v>40</v>
      </c>
      <c r="B20" s="30"/>
      <c r="C20" s="31"/>
      <c r="D20" s="16"/>
      <c r="E20" s="16"/>
      <c r="F20" s="16"/>
      <c r="G20" s="16"/>
      <c r="H20" s="16"/>
      <c r="I20" s="16"/>
      <c r="J20" s="16"/>
      <c r="K20" s="25">
        <v>0</v>
      </c>
      <c r="L20" s="32"/>
    </row>
    <row r="21" spans="1:15" ht="24.6" customHeight="1" x14ac:dyDescent="0.25">
      <c r="A21" s="8" t="s">
        <v>30</v>
      </c>
      <c r="B21" s="30"/>
      <c r="C21" s="31"/>
      <c r="D21" s="16"/>
      <c r="E21" s="16"/>
      <c r="F21" s="16"/>
      <c r="G21" s="16"/>
      <c r="H21" s="16"/>
      <c r="I21" s="16"/>
      <c r="J21" s="16"/>
      <c r="K21" s="29">
        <f>K19</f>
        <v>1435.75</v>
      </c>
      <c r="M21" s="33"/>
    </row>
    <row r="22" spans="1:15" ht="15.6" customHeight="1" thickBot="1" x14ac:dyDescent="0.3">
      <c r="A22" s="34" t="s">
        <v>52</v>
      </c>
      <c r="B22" s="35"/>
      <c r="C22" s="36"/>
      <c r="D22" s="36"/>
      <c r="E22" s="36"/>
      <c r="F22" s="36"/>
      <c r="G22" s="36"/>
      <c r="H22" s="36"/>
      <c r="I22" s="36"/>
      <c r="J22" s="36"/>
      <c r="K22" s="42">
        <f>SUM(K21/100*97.5)</f>
        <v>1399.85625</v>
      </c>
      <c r="M22" s="33"/>
    </row>
    <row r="23" spans="1:15" x14ac:dyDescent="0.2">
      <c r="F23" s="32"/>
      <c r="G23" s="37"/>
      <c r="H23" s="33"/>
      <c r="J23" s="33"/>
      <c r="K23" s="37"/>
      <c r="N23" s="12"/>
    </row>
    <row r="24" spans="1:15" x14ac:dyDescent="0.2">
      <c r="A24" s="40" t="s">
        <v>35</v>
      </c>
      <c r="F24" s="32"/>
      <c r="G24" s="37"/>
      <c r="H24" s="33"/>
      <c r="J24" s="33" t="s">
        <v>36</v>
      </c>
      <c r="K24" s="41">
        <v>1382.3</v>
      </c>
      <c r="L24" s="33">
        <f>SUM((K22-K24)/K24)</f>
        <v>1.2700752369239739E-2</v>
      </c>
      <c r="O24" s="12"/>
    </row>
    <row r="27" spans="1:15" x14ac:dyDescent="0.2">
      <c r="A27" s="12" t="s">
        <v>51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t="s">
        <v>11</v>
      </c>
      <c r="M27" s="12" t="s">
        <v>46</v>
      </c>
      <c r="N27" s="43">
        <v>41951</v>
      </c>
      <c r="O27" s="12" t="s">
        <v>11</v>
      </c>
    </row>
    <row r="28" spans="1:15" x14ac:dyDescent="0.2">
      <c r="A28" t="s">
        <v>31</v>
      </c>
      <c r="C28" s="39">
        <v>0</v>
      </c>
      <c r="D28" s="39">
        <v>0</v>
      </c>
      <c r="E28" s="39">
        <v>1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39">
        <f>SUM(C28:J28)</f>
        <v>2</v>
      </c>
      <c r="L28" t="s">
        <v>11</v>
      </c>
      <c r="M28" s="12" t="s">
        <v>43</v>
      </c>
      <c r="N28" s="43">
        <v>41951</v>
      </c>
      <c r="O28" s="12" t="s">
        <v>11</v>
      </c>
    </row>
    <row r="29" spans="1:15" x14ac:dyDescent="0.2">
      <c r="C29" s="38">
        <f>C27+C28</f>
        <v>0</v>
      </c>
      <c r="D29" s="38">
        <f t="shared" ref="D29:K29" si="6">D27+D28</f>
        <v>0</v>
      </c>
      <c r="E29" s="38">
        <f t="shared" si="6"/>
        <v>1</v>
      </c>
      <c r="F29" s="38">
        <f t="shared" si="6"/>
        <v>0</v>
      </c>
      <c r="G29" s="38">
        <f t="shared" si="6"/>
        <v>1</v>
      </c>
      <c r="H29" s="38">
        <f t="shared" si="6"/>
        <v>0</v>
      </c>
      <c r="I29" s="38">
        <f t="shared" si="6"/>
        <v>0</v>
      </c>
      <c r="J29" s="38">
        <f t="shared" si="6"/>
        <v>0</v>
      </c>
      <c r="K29" s="38">
        <f t="shared" si="6"/>
        <v>2</v>
      </c>
    </row>
    <row r="30" spans="1:15" x14ac:dyDescent="0.2">
      <c r="C30" s="38"/>
      <c r="D30" s="38"/>
      <c r="E30" s="38"/>
      <c r="F30" s="38"/>
      <c r="G30" s="38"/>
      <c r="H30" s="38"/>
      <c r="I30" s="38"/>
      <c r="J30" s="38"/>
      <c r="K30" s="38"/>
    </row>
    <row r="31" spans="1:15" x14ac:dyDescent="0.2"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C14" sqref="C14:J14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9.28515625" customWidth="1"/>
    <col min="11" max="11" width="9.85546875" customWidth="1"/>
    <col min="12" max="12" width="9.28515625" bestFit="1" customWidth="1"/>
  </cols>
  <sheetData>
    <row r="1" spans="1:21" ht="14.45" customHeight="1" x14ac:dyDescent="0.25">
      <c r="A1" s="1" t="s">
        <v>33</v>
      </c>
      <c r="D1" s="2" t="s">
        <v>32</v>
      </c>
      <c r="L1" s="3"/>
    </row>
    <row r="2" spans="1:21" ht="16.149999999999999" customHeight="1" thickBot="1" x14ac:dyDescent="0.3">
      <c r="C2" s="1" t="s">
        <v>58</v>
      </c>
    </row>
    <row r="3" spans="1:21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1" ht="13.15" customHeight="1" x14ac:dyDescent="0.2">
      <c r="A4" s="8" t="s">
        <v>34</v>
      </c>
      <c r="B4" s="9"/>
      <c r="C4" s="10">
        <v>279</v>
      </c>
      <c r="D4" s="10">
        <v>1278</v>
      </c>
      <c r="E4" s="10">
        <v>2952</v>
      </c>
      <c r="F4" s="10">
        <v>448</v>
      </c>
      <c r="G4" s="10">
        <v>46</v>
      </c>
      <c r="H4" s="10">
        <v>1</v>
      </c>
      <c r="I4" s="10">
        <v>0</v>
      </c>
      <c r="J4" s="10">
        <v>2</v>
      </c>
      <c r="K4" s="11">
        <f>SUM(C4:J4)</f>
        <v>5006</v>
      </c>
      <c r="L4" s="12" t="s">
        <v>11</v>
      </c>
      <c r="M4" s="12" t="s">
        <v>43</v>
      </c>
      <c r="N4" s="43">
        <v>41951</v>
      </c>
      <c r="P4" s="12" t="s">
        <v>54</v>
      </c>
    </row>
    <row r="5" spans="1:21" ht="12" customHeight="1" x14ac:dyDescent="0.2">
      <c r="A5" s="8" t="s">
        <v>42</v>
      </c>
      <c r="B5" s="9"/>
      <c r="C5" s="10">
        <f>3+1</f>
        <v>4</v>
      </c>
      <c r="D5" s="10">
        <f>20+1</f>
        <v>21</v>
      </c>
      <c r="E5" s="10">
        <f>22+2</f>
        <v>24</v>
      </c>
      <c r="F5" s="10">
        <f>5+0</f>
        <v>5</v>
      </c>
      <c r="G5" s="10">
        <f>0+0</f>
        <v>0</v>
      </c>
      <c r="H5" s="10">
        <f>0+0</f>
        <v>0</v>
      </c>
      <c r="I5" s="10">
        <f>0+0</f>
        <v>0</v>
      </c>
      <c r="J5" s="10">
        <f>0+0</f>
        <v>0</v>
      </c>
      <c r="K5" s="11">
        <f>SUM(C5:J5)</f>
        <v>54</v>
      </c>
      <c r="L5" s="12" t="s">
        <v>11</v>
      </c>
      <c r="M5" s="12" t="s">
        <v>44</v>
      </c>
      <c r="N5" s="12" t="s">
        <v>43</v>
      </c>
      <c r="O5" s="43">
        <v>41951</v>
      </c>
      <c r="P5" s="12" t="s">
        <v>12</v>
      </c>
      <c r="Q5" s="15" t="s">
        <v>45</v>
      </c>
      <c r="R5" s="15" t="s">
        <v>46</v>
      </c>
      <c r="S5" s="43">
        <v>41951</v>
      </c>
      <c r="T5">
        <v>50</v>
      </c>
      <c r="U5">
        <v>4</v>
      </c>
    </row>
    <row r="6" spans="1:21" ht="12" customHeight="1" x14ac:dyDescent="0.2">
      <c r="A6" s="8" t="s">
        <v>13</v>
      </c>
      <c r="B6" s="9"/>
      <c r="C6" s="13">
        <v>134.30000000000001</v>
      </c>
      <c r="D6" s="13">
        <v>456.81</v>
      </c>
      <c r="E6" s="13">
        <v>583.72</v>
      </c>
      <c r="F6" s="13">
        <v>98.26</v>
      </c>
      <c r="G6" s="13">
        <v>14.76</v>
      </c>
      <c r="H6" s="13">
        <v>0.98</v>
      </c>
      <c r="I6" s="13">
        <v>0</v>
      </c>
      <c r="J6" s="13">
        <v>0</v>
      </c>
      <c r="K6" s="11">
        <f>SUM(C6:J6)</f>
        <v>1288.83</v>
      </c>
      <c r="L6" s="12" t="s">
        <v>11</v>
      </c>
      <c r="M6" s="12" t="s">
        <v>43</v>
      </c>
      <c r="N6" s="43">
        <v>41951</v>
      </c>
    </row>
    <row r="7" spans="1:21" ht="24.75" customHeight="1" x14ac:dyDescent="0.2">
      <c r="A7" s="8" t="s">
        <v>53</v>
      </c>
      <c r="B7" s="9"/>
      <c r="C7" s="14">
        <f t="shared" ref="C7:K7" si="0">C4-C5-C6</f>
        <v>140.69999999999999</v>
      </c>
      <c r="D7" s="14">
        <f t="shared" si="0"/>
        <v>800.19</v>
      </c>
      <c r="E7" s="14">
        <f t="shared" si="0"/>
        <v>2344.2799999999997</v>
      </c>
      <c r="F7" s="14">
        <f t="shared" si="0"/>
        <v>344.74</v>
      </c>
      <c r="G7" s="14">
        <f t="shared" si="0"/>
        <v>31.240000000000002</v>
      </c>
      <c r="H7" s="14">
        <f t="shared" si="0"/>
        <v>2.0000000000000018E-2</v>
      </c>
      <c r="I7" s="14">
        <f t="shared" si="0"/>
        <v>0</v>
      </c>
      <c r="J7" s="14">
        <f t="shared" si="0"/>
        <v>2</v>
      </c>
      <c r="K7" s="11">
        <f t="shared" si="0"/>
        <v>3663.17</v>
      </c>
      <c r="L7" s="15"/>
    </row>
    <row r="8" spans="1:21" ht="22.9" customHeight="1" x14ac:dyDescent="0.2">
      <c r="A8" s="8" t="s">
        <v>37</v>
      </c>
      <c r="B8" s="9"/>
      <c r="C8" s="14">
        <v>0</v>
      </c>
      <c r="D8" s="14">
        <v>3</v>
      </c>
      <c r="E8" s="14">
        <v>15</v>
      </c>
      <c r="F8" s="14">
        <v>6</v>
      </c>
      <c r="G8" s="14">
        <v>4</v>
      </c>
      <c r="H8" s="14">
        <v>0</v>
      </c>
      <c r="I8" s="14">
        <v>0</v>
      </c>
      <c r="J8" s="14">
        <v>1</v>
      </c>
      <c r="K8" s="11">
        <f>SUM(C8:J8)</f>
        <v>29</v>
      </c>
      <c r="L8" s="15" t="s">
        <v>11</v>
      </c>
      <c r="M8" s="12" t="s">
        <v>43</v>
      </c>
      <c r="N8" s="43">
        <v>41951</v>
      </c>
    </row>
    <row r="9" spans="1:21" ht="23.45" customHeight="1" x14ac:dyDescent="0.2">
      <c r="A9" s="8" t="s">
        <v>15</v>
      </c>
      <c r="B9" s="16">
        <f t="shared" ref="B9:I9" si="1">C8</f>
        <v>0</v>
      </c>
      <c r="C9" s="16">
        <f t="shared" si="1"/>
        <v>3</v>
      </c>
      <c r="D9" s="16">
        <f t="shared" si="1"/>
        <v>15</v>
      </c>
      <c r="E9" s="16">
        <f t="shared" si="1"/>
        <v>6</v>
      </c>
      <c r="F9" s="16">
        <f t="shared" si="1"/>
        <v>4</v>
      </c>
      <c r="G9" s="16">
        <f t="shared" si="1"/>
        <v>0</v>
      </c>
      <c r="H9" s="16">
        <f t="shared" si="1"/>
        <v>0</v>
      </c>
      <c r="I9" s="16">
        <f t="shared" si="1"/>
        <v>1</v>
      </c>
      <c r="J9" s="9"/>
      <c r="K9" s="17">
        <f>SUM(B9:I9)</f>
        <v>29</v>
      </c>
      <c r="L9" s="15" t="s">
        <v>11</v>
      </c>
      <c r="M9" s="12" t="s">
        <v>43</v>
      </c>
      <c r="N9" s="43">
        <v>41951</v>
      </c>
    </row>
    <row r="10" spans="1:21" ht="25.15" customHeight="1" x14ac:dyDescent="0.2">
      <c r="A10" s="8" t="s">
        <v>16</v>
      </c>
      <c r="B10" s="18">
        <f t="shared" ref="B10:K10" si="2">SUM(B7-B8+B9)</f>
        <v>0</v>
      </c>
      <c r="C10" s="18">
        <f t="shared" si="2"/>
        <v>143.69999999999999</v>
      </c>
      <c r="D10" s="18">
        <f t="shared" si="2"/>
        <v>812.19</v>
      </c>
      <c r="E10" s="18">
        <f t="shared" si="2"/>
        <v>2335.2799999999997</v>
      </c>
      <c r="F10" s="18">
        <f t="shared" si="2"/>
        <v>342.74</v>
      </c>
      <c r="G10" s="18">
        <f t="shared" si="2"/>
        <v>27.240000000000002</v>
      </c>
      <c r="H10" s="18">
        <f t="shared" si="2"/>
        <v>2.0000000000000018E-2</v>
      </c>
      <c r="I10" s="18">
        <f t="shared" si="2"/>
        <v>1</v>
      </c>
      <c r="J10" s="18">
        <f t="shared" si="2"/>
        <v>1</v>
      </c>
      <c r="K10" s="19">
        <f t="shared" si="2"/>
        <v>3663.17</v>
      </c>
      <c r="L10" s="15"/>
    </row>
    <row r="11" spans="1:21" s="12" customFormat="1" ht="22.15" customHeight="1" x14ac:dyDescent="0.2">
      <c r="A11" s="8" t="s">
        <v>17</v>
      </c>
      <c r="B11" s="14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19">
        <f>SUM(B11:J11)</f>
        <v>0</v>
      </c>
      <c r="L11" s="15" t="s">
        <v>11</v>
      </c>
      <c r="M11" s="12" t="s">
        <v>47</v>
      </c>
      <c r="O11" s="12" t="s">
        <v>48</v>
      </c>
    </row>
    <row r="12" spans="1:21" ht="22.15" customHeight="1" x14ac:dyDescent="0.2">
      <c r="A12" s="8" t="s">
        <v>41</v>
      </c>
      <c r="B12" s="14">
        <f>0+0</f>
        <v>0</v>
      </c>
      <c r="C12" s="14">
        <f>221+0</f>
        <v>221</v>
      </c>
      <c r="D12" s="14">
        <f>763+5</f>
        <v>768</v>
      </c>
      <c r="E12" s="14">
        <f>850+36</f>
        <v>886</v>
      </c>
      <c r="F12" s="14">
        <f>127+5</f>
        <v>132</v>
      </c>
      <c r="G12" s="14">
        <f>11+0</f>
        <v>11</v>
      </c>
      <c r="H12" s="14">
        <f>1+0</f>
        <v>1</v>
      </c>
      <c r="I12" s="14">
        <f>0+0</f>
        <v>0</v>
      </c>
      <c r="J12" s="14">
        <f>0+0</f>
        <v>0</v>
      </c>
      <c r="K12" s="19">
        <f>SUM(B12:J12)</f>
        <v>2019</v>
      </c>
      <c r="L12" s="15" t="s">
        <v>11</v>
      </c>
      <c r="M12" s="12" t="s">
        <v>43</v>
      </c>
      <c r="N12" s="43">
        <v>41951</v>
      </c>
    </row>
    <row r="13" spans="1:21" s="12" customFormat="1" ht="22.9" customHeight="1" x14ac:dyDescent="0.2">
      <c r="A13" s="8" t="s">
        <v>38</v>
      </c>
      <c r="B13" s="21">
        <v>0</v>
      </c>
      <c r="C13" s="21">
        <f>C29</f>
        <v>0</v>
      </c>
      <c r="D13" s="21">
        <f t="shared" ref="D13:J13" si="3">D29</f>
        <v>2</v>
      </c>
      <c r="E13" s="21">
        <f t="shared" si="3"/>
        <v>1</v>
      </c>
      <c r="F13" s="21">
        <f t="shared" si="3"/>
        <v>0</v>
      </c>
      <c r="G13" s="21">
        <f t="shared" si="3"/>
        <v>1</v>
      </c>
      <c r="H13" s="21">
        <f t="shared" si="3"/>
        <v>0</v>
      </c>
      <c r="I13" s="21">
        <f t="shared" si="3"/>
        <v>1</v>
      </c>
      <c r="J13" s="21">
        <f t="shared" si="3"/>
        <v>0</v>
      </c>
      <c r="K13" s="22">
        <f>SUM(B13:J13)</f>
        <v>5</v>
      </c>
      <c r="L13" s="23" t="s">
        <v>11</v>
      </c>
      <c r="M13" s="12" t="s">
        <v>50</v>
      </c>
    </row>
    <row r="14" spans="1:21" ht="21" customHeight="1" x14ac:dyDescent="0.2">
      <c r="A14" s="8" t="s">
        <v>39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f>SUM(B14:J14)</f>
        <v>0</v>
      </c>
      <c r="L14" s="15" t="s">
        <v>11</v>
      </c>
      <c r="M14" s="12" t="s">
        <v>49</v>
      </c>
      <c r="O14" s="12" t="s">
        <v>48</v>
      </c>
      <c r="P14" s="12"/>
    </row>
    <row r="15" spans="1:21" ht="22.9" customHeight="1" x14ac:dyDescent="0.2">
      <c r="A15" s="8" t="s">
        <v>18</v>
      </c>
      <c r="B15" s="14">
        <f t="shared" ref="B15:K15" si="4">SUM(B10-B11-B12-B13-B14)</f>
        <v>0</v>
      </c>
      <c r="C15" s="14">
        <f t="shared" si="4"/>
        <v>-77.300000000000011</v>
      </c>
      <c r="D15" s="14">
        <f t="shared" si="4"/>
        <v>42.190000000000055</v>
      </c>
      <c r="E15" s="14">
        <f t="shared" si="4"/>
        <v>1448.2799999999997</v>
      </c>
      <c r="F15" s="14">
        <f t="shared" si="4"/>
        <v>210.74</v>
      </c>
      <c r="G15" s="14">
        <f t="shared" si="4"/>
        <v>15.240000000000002</v>
      </c>
      <c r="H15" s="14">
        <f t="shared" si="4"/>
        <v>-0.98</v>
      </c>
      <c r="I15" s="14">
        <f t="shared" si="4"/>
        <v>0</v>
      </c>
      <c r="J15" s="14">
        <f t="shared" si="4"/>
        <v>1</v>
      </c>
      <c r="K15" s="11">
        <f t="shared" si="4"/>
        <v>1639.17</v>
      </c>
    </row>
    <row r="16" spans="1:21" ht="34.9" customHeight="1" x14ac:dyDescent="0.2">
      <c r="A16" s="8" t="s">
        <v>19</v>
      </c>
      <c r="B16" s="24">
        <f>SUM((B11*0.75)+(B12*0.75)+(B13*0.5)+(B14*0.5)+B15)</f>
        <v>0</v>
      </c>
      <c r="C16" s="24">
        <f t="shared" ref="C16:J16" si="5">SUM((C11*0.75)+(C12*0.75)+(C13*0.5)+(C14*1.5)+C15)</f>
        <v>88.449999999999989</v>
      </c>
      <c r="D16" s="24">
        <f t="shared" si="5"/>
        <v>619.19000000000005</v>
      </c>
      <c r="E16" s="24">
        <f t="shared" si="5"/>
        <v>2113.2799999999997</v>
      </c>
      <c r="F16" s="24">
        <f t="shared" si="5"/>
        <v>309.74</v>
      </c>
      <c r="G16" s="24">
        <f t="shared" si="5"/>
        <v>23.990000000000002</v>
      </c>
      <c r="H16" s="24">
        <f t="shared" si="5"/>
        <v>-0.22999999999999998</v>
      </c>
      <c r="I16" s="24">
        <f t="shared" si="5"/>
        <v>0.5</v>
      </c>
      <c r="J16" s="24">
        <f t="shared" si="5"/>
        <v>1</v>
      </c>
      <c r="K16" s="25">
        <f>SUM(B16:J16)</f>
        <v>3155.9199999999996</v>
      </c>
    </row>
    <row r="17" spans="1:15" ht="13.15" customHeight="1" x14ac:dyDescent="0.2">
      <c r="A17" s="8" t="s">
        <v>20</v>
      </c>
      <c r="B17" s="26" t="s">
        <v>21</v>
      </c>
      <c r="C17" s="26" t="s">
        <v>22</v>
      </c>
      <c r="D17" s="27" t="s">
        <v>23</v>
      </c>
      <c r="E17" s="27" t="s">
        <v>24</v>
      </c>
      <c r="F17" s="27">
        <v>1</v>
      </c>
      <c r="G17" s="27" t="s">
        <v>25</v>
      </c>
      <c r="H17" s="27" t="s">
        <v>26</v>
      </c>
      <c r="I17" s="27" t="s">
        <v>27</v>
      </c>
      <c r="J17" s="27" t="s">
        <v>28</v>
      </c>
      <c r="K17" s="17"/>
    </row>
    <row r="18" spans="1:15" ht="3.6" hidden="1" customHeight="1" x14ac:dyDescent="0.2">
      <c r="A18" s="8"/>
      <c r="B18" s="26"/>
      <c r="C18" s="26"/>
      <c r="D18" s="27"/>
      <c r="E18" s="27"/>
      <c r="F18" s="27"/>
      <c r="G18" s="27"/>
      <c r="H18" s="27"/>
      <c r="I18" s="27"/>
      <c r="J18" s="27"/>
      <c r="K18" s="17"/>
    </row>
    <row r="19" spans="1:15" ht="17.45" customHeight="1" x14ac:dyDescent="0.25">
      <c r="A19" s="8" t="s">
        <v>29</v>
      </c>
      <c r="B19" s="28">
        <f>ROUND(B16/9*5,2)</f>
        <v>0</v>
      </c>
      <c r="C19" s="28">
        <f>ROUND(C16/9*6,2)</f>
        <v>58.97</v>
      </c>
      <c r="D19" s="28">
        <f>ROUND(D16/9*7,2)</f>
        <v>481.59</v>
      </c>
      <c r="E19" s="28">
        <f>ROUND(E16/9*8,2)</f>
        <v>1878.47</v>
      </c>
      <c r="F19" s="28">
        <f>ROUND(F16*F17,2)</f>
        <v>309.74</v>
      </c>
      <c r="G19" s="28">
        <f>ROUND(G16/9*11,2)</f>
        <v>29.32</v>
      </c>
      <c r="H19" s="28">
        <f>ROUND(H16/9*13,2)</f>
        <v>-0.33</v>
      </c>
      <c r="I19" s="28">
        <f>ROUND(I16/9*15,2)</f>
        <v>0.83</v>
      </c>
      <c r="J19" s="28">
        <f>ROUND(J16/9*18,2)</f>
        <v>2</v>
      </c>
      <c r="K19" s="29">
        <f>SUM(B19:J19)</f>
        <v>2760.5899999999997</v>
      </c>
    </row>
    <row r="20" spans="1:15" ht="25.15" customHeight="1" x14ac:dyDescent="0.25">
      <c r="A20" s="8" t="s">
        <v>40</v>
      </c>
      <c r="B20" s="30"/>
      <c r="C20" s="31"/>
      <c r="D20" s="16"/>
      <c r="E20" s="16"/>
      <c r="F20" s="16"/>
      <c r="G20" s="16"/>
      <c r="H20" s="16"/>
      <c r="I20" s="16"/>
      <c r="J20" s="16"/>
      <c r="K20" s="25">
        <v>0</v>
      </c>
      <c r="L20" s="32"/>
    </row>
    <row r="21" spans="1:15" ht="24.6" customHeight="1" x14ac:dyDescent="0.25">
      <c r="A21" s="8" t="s">
        <v>30</v>
      </c>
      <c r="B21" s="30"/>
      <c r="C21" s="31"/>
      <c r="D21" s="16"/>
      <c r="E21" s="16"/>
      <c r="F21" s="16"/>
      <c r="G21" s="16"/>
      <c r="H21" s="16"/>
      <c r="I21" s="16"/>
      <c r="J21" s="16"/>
      <c r="K21" s="29">
        <f>K19</f>
        <v>2760.5899999999997</v>
      </c>
      <c r="M21" s="33"/>
    </row>
    <row r="22" spans="1:15" ht="15.6" customHeight="1" thickBot="1" x14ac:dyDescent="0.3">
      <c r="A22" s="34" t="s">
        <v>52</v>
      </c>
      <c r="B22" s="35"/>
      <c r="C22" s="36"/>
      <c r="D22" s="36"/>
      <c r="E22" s="36"/>
      <c r="F22" s="36"/>
      <c r="G22" s="36"/>
      <c r="H22" s="36"/>
      <c r="I22" s="36"/>
      <c r="J22" s="36"/>
      <c r="K22" s="42">
        <f>SUM(K21/100*97.5)</f>
        <v>2691.5752499999999</v>
      </c>
      <c r="M22" s="33"/>
    </row>
    <row r="23" spans="1:15" x14ac:dyDescent="0.2">
      <c r="F23" s="32"/>
      <c r="G23" s="37"/>
      <c r="H23" s="33"/>
      <c r="J23" s="33"/>
      <c r="K23" s="37"/>
      <c r="N23" s="12"/>
    </row>
    <row r="24" spans="1:15" x14ac:dyDescent="0.2">
      <c r="A24" s="40" t="s">
        <v>35</v>
      </c>
      <c r="F24" s="32"/>
      <c r="G24" s="37"/>
      <c r="H24" s="33"/>
      <c r="J24" s="33" t="s">
        <v>36</v>
      </c>
      <c r="K24" s="41">
        <v>2636.3</v>
      </c>
      <c r="L24" s="33">
        <f>SUM((K22-K24)/K24)</f>
        <v>2.0966980237453886E-2</v>
      </c>
      <c r="O24" s="12"/>
    </row>
    <row r="27" spans="1:15" x14ac:dyDescent="0.2">
      <c r="A27" s="12" t="s">
        <v>51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12" t="s">
        <v>11</v>
      </c>
      <c r="M27" s="12" t="s">
        <v>46</v>
      </c>
      <c r="N27" s="43">
        <v>41951</v>
      </c>
      <c r="O27" s="12" t="s">
        <v>11</v>
      </c>
    </row>
    <row r="28" spans="1:15" x14ac:dyDescent="0.2">
      <c r="A28" t="s">
        <v>31</v>
      </c>
      <c r="C28" s="39">
        <v>0</v>
      </c>
      <c r="D28" s="39">
        <v>2</v>
      </c>
      <c r="E28" s="39">
        <v>1</v>
      </c>
      <c r="F28" s="39">
        <v>0</v>
      </c>
      <c r="G28" s="39">
        <v>1</v>
      </c>
      <c r="H28" s="39">
        <v>0</v>
      </c>
      <c r="I28" s="39">
        <v>1</v>
      </c>
      <c r="J28" s="39">
        <v>0</v>
      </c>
      <c r="K28" s="39">
        <f>SUM(C28:J28)</f>
        <v>5</v>
      </c>
      <c r="L28" t="s">
        <v>11</v>
      </c>
      <c r="M28" s="12" t="s">
        <v>43</v>
      </c>
      <c r="N28" s="43">
        <v>41951</v>
      </c>
      <c r="O28" s="12" t="s">
        <v>11</v>
      </c>
    </row>
    <row r="29" spans="1:15" x14ac:dyDescent="0.2">
      <c r="C29" s="38">
        <f>C27+C28</f>
        <v>0</v>
      </c>
      <c r="D29" s="38">
        <f t="shared" ref="D29:K29" si="6">D27+D28</f>
        <v>2</v>
      </c>
      <c r="E29" s="38">
        <f t="shared" si="6"/>
        <v>1</v>
      </c>
      <c r="F29" s="38">
        <f t="shared" si="6"/>
        <v>0</v>
      </c>
      <c r="G29" s="38">
        <f t="shared" si="6"/>
        <v>1</v>
      </c>
      <c r="H29" s="38">
        <f t="shared" si="6"/>
        <v>0</v>
      </c>
      <c r="I29" s="38">
        <f t="shared" si="6"/>
        <v>1</v>
      </c>
      <c r="J29" s="38">
        <f t="shared" si="6"/>
        <v>0</v>
      </c>
      <c r="K29" s="38">
        <f t="shared" si="6"/>
        <v>5</v>
      </c>
    </row>
    <row r="30" spans="1:15" x14ac:dyDescent="0.2">
      <c r="C30" s="38"/>
      <c r="D30" s="38"/>
      <c r="E30" s="38"/>
      <c r="F30" s="38"/>
      <c r="G30" s="38"/>
      <c r="H30" s="38"/>
      <c r="I30" s="38"/>
      <c r="J30" s="38"/>
      <c r="K30" s="38"/>
    </row>
    <row r="31" spans="1:15" x14ac:dyDescent="0.2"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F1" workbookViewId="0">
      <selection activeCell="M5" sqref="M5:U5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9.28515625" customWidth="1"/>
    <col min="11" max="11" width="9.85546875" customWidth="1"/>
    <col min="12" max="12" width="9.28515625" bestFit="1" customWidth="1"/>
  </cols>
  <sheetData>
    <row r="1" spans="1:21" ht="14.45" customHeight="1" x14ac:dyDescent="0.25">
      <c r="A1" s="1" t="s">
        <v>33</v>
      </c>
      <c r="D1" s="2" t="s">
        <v>32</v>
      </c>
      <c r="L1" s="3"/>
    </row>
    <row r="2" spans="1:21" ht="16.149999999999999" customHeight="1" thickBot="1" x14ac:dyDescent="0.3">
      <c r="C2" s="1" t="s">
        <v>59</v>
      </c>
    </row>
    <row r="3" spans="1:21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1" ht="13.15" customHeight="1" x14ac:dyDescent="0.2">
      <c r="A4" s="8" t="s">
        <v>34</v>
      </c>
      <c r="B4" s="9"/>
      <c r="C4" s="10">
        <v>2397</v>
      </c>
      <c r="D4" s="10">
        <v>9133</v>
      </c>
      <c r="E4" s="10">
        <v>18793</v>
      </c>
      <c r="F4" s="10">
        <v>15709</v>
      </c>
      <c r="G4" s="10">
        <v>6844</v>
      </c>
      <c r="H4" s="10">
        <v>2794</v>
      </c>
      <c r="I4" s="10">
        <v>3215</v>
      </c>
      <c r="J4" s="10">
        <v>578</v>
      </c>
      <c r="K4" s="11">
        <f>SUM(C4:J4)</f>
        <v>59463</v>
      </c>
      <c r="L4" s="12" t="s">
        <v>11</v>
      </c>
      <c r="M4" s="12" t="s">
        <v>43</v>
      </c>
      <c r="N4" s="43">
        <v>41951</v>
      </c>
      <c r="P4" s="12" t="s">
        <v>54</v>
      </c>
    </row>
    <row r="5" spans="1:21" ht="12" customHeight="1" x14ac:dyDescent="0.2">
      <c r="A5" s="8" t="s">
        <v>42</v>
      </c>
      <c r="B5" s="9"/>
      <c r="C5" s="10">
        <f>422+2</f>
        <v>424</v>
      </c>
      <c r="D5" s="10">
        <f>723+9</f>
        <v>732</v>
      </c>
      <c r="E5" s="10">
        <f>1144+22</f>
        <v>1166</v>
      </c>
      <c r="F5" s="10">
        <f>1782+19</f>
        <v>1801</v>
      </c>
      <c r="G5" s="10">
        <f>1028+3</f>
        <v>1031</v>
      </c>
      <c r="H5" s="10">
        <f>238+1</f>
        <v>239</v>
      </c>
      <c r="I5" s="10">
        <f>234+3</f>
        <v>237</v>
      </c>
      <c r="J5" s="10">
        <f>206+0</f>
        <v>206</v>
      </c>
      <c r="K5" s="11">
        <f>SUM(C5:J5)</f>
        <v>5836</v>
      </c>
      <c r="L5" s="12"/>
      <c r="M5" s="12" t="s">
        <v>44</v>
      </c>
      <c r="N5" s="12" t="s">
        <v>43</v>
      </c>
      <c r="O5" s="43">
        <v>41729</v>
      </c>
      <c r="P5" s="12" t="s">
        <v>12</v>
      </c>
      <c r="Q5" s="15" t="s">
        <v>45</v>
      </c>
      <c r="R5" s="15" t="s">
        <v>46</v>
      </c>
      <c r="S5" s="43">
        <v>41951</v>
      </c>
      <c r="T5">
        <v>5777</v>
      </c>
      <c r="U5">
        <v>59</v>
      </c>
    </row>
    <row r="6" spans="1:21" ht="12" customHeight="1" x14ac:dyDescent="0.2">
      <c r="A6" s="8" t="s">
        <v>13</v>
      </c>
      <c r="B6" s="9"/>
      <c r="C6" s="13">
        <v>558.11</v>
      </c>
      <c r="D6" s="13">
        <v>2348.8000000000002</v>
      </c>
      <c r="E6" s="13">
        <v>2880.51</v>
      </c>
      <c r="F6" s="13">
        <v>1001.83</v>
      </c>
      <c r="G6" s="13">
        <v>257.11</v>
      </c>
      <c r="H6" s="13">
        <v>26.85</v>
      </c>
      <c r="I6" s="13">
        <v>14.7</v>
      </c>
      <c r="J6" s="13">
        <v>0.45</v>
      </c>
      <c r="K6" s="11">
        <f>SUM(C6:J6)</f>
        <v>7088.36</v>
      </c>
      <c r="L6" s="12" t="s">
        <v>11</v>
      </c>
      <c r="M6" s="12" t="s">
        <v>43</v>
      </c>
      <c r="N6" s="43">
        <v>41951</v>
      </c>
    </row>
    <row r="7" spans="1:21" ht="24.75" customHeight="1" x14ac:dyDescent="0.2">
      <c r="A7" s="8" t="s">
        <v>53</v>
      </c>
      <c r="B7" s="9"/>
      <c r="C7" s="14">
        <f t="shared" ref="C7:K7" si="0">C4-C5-C6</f>
        <v>1414.8899999999999</v>
      </c>
      <c r="D7" s="14">
        <f t="shared" si="0"/>
        <v>6052.2</v>
      </c>
      <c r="E7" s="14">
        <f t="shared" si="0"/>
        <v>14746.49</v>
      </c>
      <c r="F7" s="14">
        <f t="shared" si="0"/>
        <v>12906.17</v>
      </c>
      <c r="G7" s="14">
        <f t="shared" si="0"/>
        <v>5555.89</v>
      </c>
      <c r="H7" s="14">
        <f t="shared" si="0"/>
        <v>2528.15</v>
      </c>
      <c r="I7" s="14">
        <f t="shared" si="0"/>
        <v>2963.3</v>
      </c>
      <c r="J7" s="14">
        <f t="shared" si="0"/>
        <v>371.55</v>
      </c>
      <c r="K7" s="11">
        <f t="shared" si="0"/>
        <v>46538.64</v>
      </c>
      <c r="L7" s="15"/>
    </row>
    <row r="8" spans="1:21" ht="22.9" customHeight="1" x14ac:dyDescent="0.2">
      <c r="A8" s="8" t="s">
        <v>37</v>
      </c>
      <c r="B8" s="9"/>
      <c r="C8" s="14">
        <v>2</v>
      </c>
      <c r="D8" s="14">
        <v>20</v>
      </c>
      <c r="E8" s="14">
        <v>77</v>
      </c>
      <c r="F8" s="14">
        <v>69</v>
      </c>
      <c r="G8" s="14">
        <v>29</v>
      </c>
      <c r="H8" s="14">
        <v>13</v>
      </c>
      <c r="I8" s="14">
        <v>16</v>
      </c>
      <c r="J8" s="14">
        <v>8</v>
      </c>
      <c r="K8" s="11">
        <f>SUM(C8:J8)</f>
        <v>234</v>
      </c>
      <c r="L8" s="15" t="s">
        <v>11</v>
      </c>
      <c r="M8" s="12" t="s">
        <v>43</v>
      </c>
      <c r="N8" s="43">
        <v>41951</v>
      </c>
    </row>
    <row r="9" spans="1:21" ht="23.45" customHeight="1" x14ac:dyDescent="0.2">
      <c r="A9" s="8" t="s">
        <v>15</v>
      </c>
      <c r="B9" s="16">
        <f t="shared" ref="B9:I9" si="1">C8</f>
        <v>2</v>
      </c>
      <c r="C9" s="16">
        <f t="shared" si="1"/>
        <v>20</v>
      </c>
      <c r="D9" s="16">
        <f t="shared" si="1"/>
        <v>77</v>
      </c>
      <c r="E9" s="16">
        <f t="shared" si="1"/>
        <v>69</v>
      </c>
      <c r="F9" s="16">
        <f t="shared" si="1"/>
        <v>29</v>
      </c>
      <c r="G9" s="16">
        <f t="shared" si="1"/>
        <v>13</v>
      </c>
      <c r="H9" s="16">
        <f t="shared" si="1"/>
        <v>16</v>
      </c>
      <c r="I9" s="16">
        <f t="shared" si="1"/>
        <v>8</v>
      </c>
      <c r="J9" s="9"/>
      <c r="K9" s="17">
        <f>SUM(B9:I9)</f>
        <v>234</v>
      </c>
      <c r="L9" s="15" t="s">
        <v>11</v>
      </c>
      <c r="M9" s="12" t="s">
        <v>43</v>
      </c>
      <c r="N9" s="43">
        <v>41951</v>
      </c>
    </row>
    <row r="10" spans="1:21" ht="25.15" customHeight="1" x14ac:dyDescent="0.2">
      <c r="A10" s="8" t="s">
        <v>16</v>
      </c>
      <c r="B10" s="18">
        <f t="shared" ref="B10:K10" si="2">SUM(B7-B8+B9)</f>
        <v>2</v>
      </c>
      <c r="C10" s="18">
        <f t="shared" si="2"/>
        <v>1432.8899999999999</v>
      </c>
      <c r="D10" s="18">
        <f t="shared" si="2"/>
        <v>6109.2</v>
      </c>
      <c r="E10" s="18">
        <f t="shared" si="2"/>
        <v>14738.49</v>
      </c>
      <c r="F10" s="18">
        <f t="shared" si="2"/>
        <v>12866.17</v>
      </c>
      <c r="G10" s="18">
        <f t="shared" si="2"/>
        <v>5539.89</v>
      </c>
      <c r="H10" s="18">
        <f t="shared" si="2"/>
        <v>2531.15</v>
      </c>
      <c r="I10" s="18">
        <f t="shared" si="2"/>
        <v>2955.3</v>
      </c>
      <c r="J10" s="18">
        <f t="shared" si="2"/>
        <v>363.55</v>
      </c>
      <c r="K10" s="19">
        <f t="shared" si="2"/>
        <v>46538.64</v>
      </c>
      <c r="L10" s="15"/>
    </row>
    <row r="11" spans="1:21" s="12" customFormat="1" ht="22.15" customHeight="1" x14ac:dyDescent="0.2">
      <c r="A11" s="8" t="s">
        <v>17</v>
      </c>
      <c r="B11" s="14">
        <v>0</v>
      </c>
      <c r="C11" s="20">
        <v>0</v>
      </c>
      <c r="D11" s="20">
        <v>6</v>
      </c>
      <c r="E11" s="20">
        <v>15</v>
      </c>
      <c r="F11" s="20">
        <v>31</v>
      </c>
      <c r="G11" s="20">
        <v>14</v>
      </c>
      <c r="H11" s="20">
        <v>7</v>
      </c>
      <c r="I11" s="20">
        <v>13</v>
      </c>
      <c r="J11" s="20">
        <v>2</v>
      </c>
      <c r="K11" s="19">
        <f>SUM(B11:J11)</f>
        <v>88</v>
      </c>
      <c r="L11" s="15" t="s">
        <v>11</v>
      </c>
      <c r="M11" s="12" t="s">
        <v>47</v>
      </c>
      <c r="O11" s="12" t="s">
        <v>48</v>
      </c>
    </row>
    <row r="12" spans="1:21" ht="22.15" customHeight="1" x14ac:dyDescent="0.2">
      <c r="A12" s="8" t="s">
        <v>41</v>
      </c>
      <c r="B12" s="14">
        <f>0+0</f>
        <v>0</v>
      </c>
      <c r="C12" s="14">
        <f>1269+14</f>
        <v>1283</v>
      </c>
      <c r="D12" s="14">
        <f>4522+123</f>
        <v>4645</v>
      </c>
      <c r="E12" s="14">
        <f>5412+327</f>
        <v>5739</v>
      </c>
      <c r="F12" s="14">
        <f>3718+308</f>
        <v>4026</v>
      </c>
      <c r="G12" s="14">
        <f>1418+133</f>
        <v>1551</v>
      </c>
      <c r="H12" s="14">
        <f>540+36</f>
        <v>576</v>
      </c>
      <c r="I12" s="14">
        <f>478+21</f>
        <v>499</v>
      </c>
      <c r="J12" s="14">
        <f>26+1</f>
        <v>27</v>
      </c>
      <c r="K12" s="19">
        <f>SUM(B12:J12)</f>
        <v>18346</v>
      </c>
      <c r="L12" s="15" t="s">
        <v>11</v>
      </c>
      <c r="M12" s="12" t="s">
        <v>43</v>
      </c>
      <c r="N12" s="43">
        <v>41951</v>
      </c>
    </row>
    <row r="13" spans="1:21" s="12" customFormat="1" ht="22.9" customHeight="1" x14ac:dyDescent="0.2">
      <c r="A13" s="8" t="s">
        <v>38</v>
      </c>
      <c r="B13" s="21">
        <v>0</v>
      </c>
      <c r="C13" s="21">
        <f>C29</f>
        <v>2</v>
      </c>
      <c r="D13" s="21">
        <f t="shared" ref="D13:J13" si="3">D29</f>
        <v>14</v>
      </c>
      <c r="E13" s="21">
        <f t="shared" si="3"/>
        <v>40</v>
      </c>
      <c r="F13" s="21">
        <f t="shared" si="3"/>
        <v>32</v>
      </c>
      <c r="G13" s="21">
        <f t="shared" si="3"/>
        <v>19</v>
      </c>
      <c r="H13" s="21">
        <f t="shared" si="3"/>
        <v>15</v>
      </c>
      <c r="I13" s="21">
        <f t="shared" si="3"/>
        <v>30</v>
      </c>
      <c r="J13" s="21">
        <f t="shared" si="3"/>
        <v>16</v>
      </c>
      <c r="K13" s="22">
        <f>SUM(B13:J13)</f>
        <v>168</v>
      </c>
      <c r="L13" s="23" t="s">
        <v>11</v>
      </c>
      <c r="M13" s="12" t="s">
        <v>50</v>
      </c>
    </row>
    <row r="14" spans="1:21" ht="21" customHeight="1" x14ac:dyDescent="0.2">
      <c r="A14" s="8" t="s">
        <v>39</v>
      </c>
      <c r="B14" s="21">
        <v>0</v>
      </c>
      <c r="C14" s="21">
        <v>5</v>
      </c>
      <c r="D14" s="21">
        <v>18</v>
      </c>
      <c r="E14" s="21">
        <v>18</v>
      </c>
      <c r="F14" s="21">
        <v>16</v>
      </c>
      <c r="G14" s="21">
        <v>9</v>
      </c>
      <c r="H14" s="21">
        <v>2</v>
      </c>
      <c r="I14" s="21">
        <v>5</v>
      </c>
      <c r="J14" s="21">
        <v>1</v>
      </c>
      <c r="K14" s="22">
        <f>SUM(B14:J14)</f>
        <v>74</v>
      </c>
      <c r="L14" s="15" t="s">
        <v>11</v>
      </c>
      <c r="M14" s="12" t="s">
        <v>49</v>
      </c>
      <c r="O14" s="12" t="s">
        <v>48</v>
      </c>
      <c r="P14" s="12"/>
    </row>
    <row r="15" spans="1:21" ht="22.9" customHeight="1" x14ac:dyDescent="0.2">
      <c r="A15" s="8" t="s">
        <v>18</v>
      </c>
      <c r="B15" s="14">
        <f t="shared" ref="B15:K15" si="4">SUM(B10-B11-B12-B13-B14)</f>
        <v>2</v>
      </c>
      <c r="C15" s="14">
        <f t="shared" si="4"/>
        <v>142.88999999999987</v>
      </c>
      <c r="D15" s="14">
        <f t="shared" si="4"/>
        <v>1426.1999999999998</v>
      </c>
      <c r="E15" s="14">
        <f t="shared" si="4"/>
        <v>8926.49</v>
      </c>
      <c r="F15" s="14">
        <f t="shared" si="4"/>
        <v>8761.17</v>
      </c>
      <c r="G15" s="14">
        <f t="shared" si="4"/>
        <v>3946.8900000000003</v>
      </c>
      <c r="H15" s="14">
        <f t="shared" si="4"/>
        <v>1931.15</v>
      </c>
      <c r="I15" s="14">
        <f t="shared" si="4"/>
        <v>2408.3000000000002</v>
      </c>
      <c r="J15" s="14">
        <f t="shared" si="4"/>
        <v>317.55</v>
      </c>
      <c r="K15" s="11">
        <f t="shared" si="4"/>
        <v>27862.639999999999</v>
      </c>
    </row>
    <row r="16" spans="1:21" ht="34.9" customHeight="1" x14ac:dyDescent="0.2">
      <c r="A16" s="8" t="s">
        <v>19</v>
      </c>
      <c r="B16" s="24">
        <f>SUM((B11*0.75)+(B12*0.75)+(B13*0.5)+(B14*0.5)+B15)</f>
        <v>2</v>
      </c>
      <c r="C16" s="24">
        <f t="shared" ref="C16:J16" si="5">SUM((C11*0.75)+(C12*0.75)+(C13*0.5)+(C14*1.5)+C15)</f>
        <v>1113.6399999999999</v>
      </c>
      <c r="D16" s="24">
        <f t="shared" si="5"/>
        <v>4948.45</v>
      </c>
      <c r="E16" s="24">
        <f t="shared" si="5"/>
        <v>13288.99</v>
      </c>
      <c r="F16" s="24">
        <f t="shared" si="5"/>
        <v>11843.92</v>
      </c>
      <c r="G16" s="24">
        <f t="shared" si="5"/>
        <v>5143.6400000000003</v>
      </c>
      <c r="H16" s="24">
        <f t="shared" si="5"/>
        <v>2378.9</v>
      </c>
      <c r="I16" s="24">
        <f t="shared" si="5"/>
        <v>2814.8</v>
      </c>
      <c r="J16" s="24">
        <f t="shared" si="5"/>
        <v>348.8</v>
      </c>
      <c r="K16" s="25">
        <f>SUM(B16:J16)</f>
        <v>41883.140000000007</v>
      </c>
    </row>
    <row r="17" spans="1:15" ht="13.15" customHeight="1" x14ac:dyDescent="0.2">
      <c r="A17" s="8" t="s">
        <v>20</v>
      </c>
      <c r="B17" s="26" t="s">
        <v>21</v>
      </c>
      <c r="C17" s="26" t="s">
        <v>22</v>
      </c>
      <c r="D17" s="27" t="s">
        <v>23</v>
      </c>
      <c r="E17" s="27" t="s">
        <v>24</v>
      </c>
      <c r="F17" s="27">
        <v>1</v>
      </c>
      <c r="G17" s="27" t="s">
        <v>25</v>
      </c>
      <c r="H17" s="27" t="s">
        <v>26</v>
      </c>
      <c r="I17" s="27" t="s">
        <v>27</v>
      </c>
      <c r="J17" s="27" t="s">
        <v>28</v>
      </c>
      <c r="K17" s="17"/>
    </row>
    <row r="18" spans="1:15" ht="3.6" hidden="1" customHeight="1" x14ac:dyDescent="0.2">
      <c r="A18" s="8"/>
      <c r="B18" s="26"/>
      <c r="C18" s="26"/>
      <c r="D18" s="27"/>
      <c r="E18" s="27"/>
      <c r="F18" s="27"/>
      <c r="G18" s="27"/>
      <c r="H18" s="27"/>
      <c r="I18" s="27"/>
      <c r="J18" s="27"/>
      <c r="K18" s="17"/>
    </row>
    <row r="19" spans="1:15" ht="17.45" customHeight="1" x14ac:dyDescent="0.25">
      <c r="A19" s="8" t="s">
        <v>29</v>
      </c>
      <c r="B19" s="28">
        <f>ROUND(B16/9*5,2)</f>
        <v>1.1100000000000001</v>
      </c>
      <c r="C19" s="28">
        <f>ROUND(C16/9*6,2)</f>
        <v>742.43</v>
      </c>
      <c r="D19" s="28">
        <f>ROUND(D16/9*7,2)</f>
        <v>3848.79</v>
      </c>
      <c r="E19" s="28">
        <f>ROUND(E16/9*8,2)</f>
        <v>11812.44</v>
      </c>
      <c r="F19" s="28">
        <f>ROUND(F16*F17,2)</f>
        <v>11843.92</v>
      </c>
      <c r="G19" s="28">
        <f>ROUND(G16/9*11,2)</f>
        <v>6286.67</v>
      </c>
      <c r="H19" s="28">
        <f>ROUND(H16/9*13,2)</f>
        <v>3436.19</v>
      </c>
      <c r="I19" s="28">
        <f>ROUND(I16/9*15,2)</f>
        <v>4691.33</v>
      </c>
      <c r="J19" s="28">
        <f>ROUND(J16/9*18,2)</f>
        <v>697.6</v>
      </c>
      <c r="K19" s="29">
        <f>SUM(B19:J19)</f>
        <v>43360.480000000003</v>
      </c>
    </row>
    <row r="20" spans="1:15" ht="25.15" customHeight="1" x14ac:dyDescent="0.25">
      <c r="A20" s="8" t="s">
        <v>40</v>
      </c>
      <c r="B20" s="30"/>
      <c r="C20" s="31"/>
      <c r="D20" s="16"/>
      <c r="E20" s="16"/>
      <c r="F20" s="16"/>
      <c r="G20" s="16"/>
      <c r="H20" s="16"/>
      <c r="I20" s="16"/>
      <c r="J20" s="16"/>
      <c r="K20" s="25">
        <v>0</v>
      </c>
      <c r="L20" s="32"/>
    </row>
    <row r="21" spans="1:15" ht="24.6" customHeight="1" x14ac:dyDescent="0.25">
      <c r="A21" s="8" t="s">
        <v>30</v>
      </c>
      <c r="B21" s="30"/>
      <c r="C21" s="31"/>
      <c r="D21" s="16"/>
      <c r="E21" s="16"/>
      <c r="F21" s="16"/>
      <c r="G21" s="16"/>
      <c r="H21" s="16"/>
      <c r="I21" s="16"/>
      <c r="J21" s="16"/>
      <c r="K21" s="29">
        <f>K19</f>
        <v>43360.480000000003</v>
      </c>
      <c r="M21" s="33"/>
    </row>
    <row r="22" spans="1:15" ht="15.6" customHeight="1" thickBot="1" x14ac:dyDescent="0.3">
      <c r="A22" s="34" t="s">
        <v>52</v>
      </c>
      <c r="B22" s="35"/>
      <c r="C22" s="36"/>
      <c r="D22" s="36"/>
      <c r="E22" s="36"/>
      <c r="F22" s="36"/>
      <c r="G22" s="36"/>
      <c r="H22" s="36"/>
      <c r="I22" s="36"/>
      <c r="J22" s="36"/>
      <c r="K22" s="42">
        <f>SUM(K21/100*97.5)</f>
        <v>42276.468000000001</v>
      </c>
      <c r="M22" s="33"/>
    </row>
    <row r="23" spans="1:15" x14ac:dyDescent="0.2">
      <c r="F23" s="32"/>
      <c r="G23" s="37"/>
      <c r="H23" s="33"/>
      <c r="J23" s="33"/>
      <c r="K23" s="37"/>
      <c r="N23" s="12"/>
    </row>
    <row r="24" spans="1:15" x14ac:dyDescent="0.2">
      <c r="A24" s="40" t="s">
        <v>35</v>
      </c>
      <c r="F24" s="32"/>
      <c r="G24" s="37"/>
      <c r="H24" s="33"/>
      <c r="J24" s="33" t="s">
        <v>36</v>
      </c>
      <c r="K24" s="41">
        <v>41752.5</v>
      </c>
      <c r="L24" s="33">
        <f>SUM((K22-K24)/K24)</f>
        <v>1.254938027663016E-2</v>
      </c>
      <c r="O24" s="12"/>
    </row>
    <row r="27" spans="1:15" x14ac:dyDescent="0.2">
      <c r="A27" s="12" t="s">
        <v>51</v>
      </c>
      <c r="C27" s="38">
        <v>0</v>
      </c>
      <c r="D27" s="38">
        <v>6</v>
      </c>
      <c r="E27" s="38">
        <v>5</v>
      </c>
      <c r="F27" s="38">
        <v>10</v>
      </c>
      <c r="G27" s="38">
        <v>4</v>
      </c>
      <c r="H27" s="38">
        <v>1</v>
      </c>
      <c r="I27" s="38">
        <v>3</v>
      </c>
      <c r="J27" s="38">
        <v>2</v>
      </c>
      <c r="K27" s="38">
        <f>SUM(C27:J27)</f>
        <v>31</v>
      </c>
      <c r="L27" s="12"/>
      <c r="M27" s="12" t="s">
        <v>46</v>
      </c>
      <c r="N27" s="43">
        <v>41951</v>
      </c>
      <c r="O27" s="12" t="s">
        <v>11</v>
      </c>
    </row>
    <row r="28" spans="1:15" x14ac:dyDescent="0.2">
      <c r="A28" t="s">
        <v>31</v>
      </c>
      <c r="C28" s="39">
        <v>2</v>
      </c>
      <c r="D28" s="39">
        <v>8</v>
      </c>
      <c r="E28" s="39">
        <v>35</v>
      </c>
      <c r="F28" s="39">
        <v>22</v>
      </c>
      <c r="G28" s="39">
        <v>15</v>
      </c>
      <c r="H28" s="39">
        <v>14</v>
      </c>
      <c r="I28" s="39">
        <v>27</v>
      </c>
      <c r="J28" s="39">
        <v>14</v>
      </c>
      <c r="K28" s="39">
        <f>SUM(C28:J28)</f>
        <v>137</v>
      </c>
      <c r="M28" s="12" t="s">
        <v>43</v>
      </c>
      <c r="N28" s="43">
        <v>41951</v>
      </c>
      <c r="O28" s="12" t="s">
        <v>11</v>
      </c>
    </row>
    <row r="29" spans="1:15" x14ac:dyDescent="0.2">
      <c r="C29" s="38">
        <f>C27+C28</f>
        <v>2</v>
      </c>
      <c r="D29" s="38">
        <f t="shared" ref="D29:K29" si="6">D27+D28</f>
        <v>14</v>
      </c>
      <c r="E29" s="38">
        <f t="shared" si="6"/>
        <v>40</v>
      </c>
      <c r="F29" s="38">
        <f t="shared" si="6"/>
        <v>32</v>
      </c>
      <c r="G29" s="38">
        <f t="shared" si="6"/>
        <v>19</v>
      </c>
      <c r="H29" s="38">
        <f t="shared" si="6"/>
        <v>15</v>
      </c>
      <c r="I29" s="38">
        <f t="shared" si="6"/>
        <v>30</v>
      </c>
      <c r="J29" s="38">
        <f t="shared" si="6"/>
        <v>16</v>
      </c>
      <c r="K29" s="38">
        <f t="shared" si="6"/>
        <v>168</v>
      </c>
    </row>
    <row r="30" spans="1:15" x14ac:dyDescent="0.2">
      <c r="C30" s="38"/>
      <c r="D30" s="38"/>
      <c r="E30" s="38"/>
      <c r="F30" s="38"/>
      <c r="G30" s="38"/>
      <c r="H30" s="38"/>
      <c r="I30" s="38"/>
      <c r="J30" s="38"/>
      <c r="K30" s="38"/>
    </row>
    <row r="31" spans="1:15" x14ac:dyDescent="0.2"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F35" sqref="F35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9.28515625" customWidth="1"/>
    <col min="11" max="11" width="9.85546875" customWidth="1"/>
    <col min="12" max="12" width="9.28515625" bestFit="1" customWidth="1"/>
  </cols>
  <sheetData>
    <row r="1" spans="1:21" ht="14.45" customHeight="1" x14ac:dyDescent="0.25">
      <c r="A1" s="1" t="s">
        <v>33</v>
      </c>
      <c r="D1" s="2" t="s">
        <v>32</v>
      </c>
      <c r="L1" s="3"/>
    </row>
    <row r="2" spans="1:21" ht="16.149999999999999" customHeight="1" thickBot="1" x14ac:dyDescent="0.3">
      <c r="C2" s="1" t="s">
        <v>60</v>
      </c>
    </row>
    <row r="3" spans="1:21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21" ht="13.15" customHeight="1" x14ac:dyDescent="0.2">
      <c r="A4" s="8" t="s">
        <v>34</v>
      </c>
      <c r="B4" s="9"/>
      <c r="C4" s="10">
        <f>'OXFORD CITY COUNCIL'!C4-Littlemore!C4-'Old Marston'!C4-'Risinghurst &amp; S'!C4-'Blackbird Leys'!C4</f>
        <v>1762</v>
      </c>
      <c r="D4" s="10">
        <f>'OXFORD CITY COUNCIL'!D4-Littlemore!D4-'Old Marston'!D4-'Risinghurst &amp; S'!D4-'Blackbird Leys'!D4</f>
        <v>7103</v>
      </c>
      <c r="E4" s="10">
        <f>'OXFORD CITY COUNCIL'!E4-Littlemore!E4-'Old Marston'!E4-'Risinghurst &amp; S'!E4-'Blackbird Leys'!E4</f>
        <v>13865</v>
      </c>
      <c r="F4" s="10">
        <f>'OXFORD CITY COUNCIL'!F4-Littlemore!F4-'Old Marston'!F4-'Risinghurst &amp; S'!F4-'Blackbird Leys'!F4</f>
        <v>13231</v>
      </c>
      <c r="G4" s="10">
        <f>'OXFORD CITY COUNCIL'!G4-Littlemore!G4-'Old Marston'!G4-'Risinghurst &amp; S'!G4-'Blackbird Leys'!G4</f>
        <v>6409</v>
      </c>
      <c r="H4" s="10">
        <f>'OXFORD CITY COUNCIL'!H4-Littlemore!H4-'Old Marston'!H4-'Risinghurst &amp; S'!H4-'Blackbird Leys'!H4</f>
        <v>2622</v>
      </c>
      <c r="I4" s="10">
        <f>'OXFORD CITY COUNCIL'!I4-Littlemore!I4-'Old Marston'!I4-'Risinghurst &amp; S'!I4-'Blackbird Leys'!I4</f>
        <v>3115</v>
      </c>
      <c r="J4" s="10">
        <f>'OXFORD CITY COUNCIL'!J4-Littlemore!J4-'Old Marston'!J4-'Risinghurst &amp; S'!J4-'Blackbird Leys'!J4</f>
        <v>572</v>
      </c>
      <c r="K4" s="11">
        <f>SUM(C4:J4)</f>
        <v>48679</v>
      </c>
      <c r="L4" s="12" t="s">
        <v>11</v>
      </c>
      <c r="M4" s="12" t="s">
        <v>43</v>
      </c>
      <c r="N4" s="43">
        <v>41951</v>
      </c>
      <c r="P4" s="12" t="s">
        <v>54</v>
      </c>
    </row>
    <row r="5" spans="1:21" ht="12" customHeight="1" x14ac:dyDescent="0.2">
      <c r="A5" s="8" t="s">
        <v>42</v>
      </c>
      <c r="B5" s="9"/>
      <c r="C5" s="10">
        <f>'OXFORD CITY COUNCIL'!C5-Littlemore!C5-'Old Marston'!C5-'Risinghurst &amp; S'!C5-'Blackbird Leys'!C5</f>
        <v>413</v>
      </c>
      <c r="D5" s="10">
        <f>'OXFORD CITY COUNCIL'!D5-Littlemore!D5-'Old Marston'!D5-'Risinghurst &amp; S'!D5-'Blackbird Leys'!D5</f>
        <v>694</v>
      </c>
      <c r="E5" s="10">
        <f>'OXFORD CITY COUNCIL'!E5-Littlemore!E5-'Old Marston'!E5-'Risinghurst &amp; S'!E5-'Blackbird Leys'!E5</f>
        <v>1104</v>
      </c>
      <c r="F5" s="10">
        <f>'OXFORD CITY COUNCIL'!F5-Littlemore!F5-'Old Marston'!F5-'Risinghurst &amp; S'!F5-'Blackbird Leys'!F5</f>
        <v>1769</v>
      </c>
      <c r="G5" s="10">
        <f>'OXFORD CITY COUNCIL'!G5-Littlemore!G5-'Old Marston'!G5-'Risinghurst &amp; S'!G5-'Blackbird Leys'!G5</f>
        <v>1028</v>
      </c>
      <c r="H5" s="10">
        <f>'OXFORD CITY COUNCIL'!H5-Littlemore!H5-'Old Marston'!H5-'Risinghurst &amp; S'!H5-'Blackbird Leys'!H5</f>
        <v>236</v>
      </c>
      <c r="I5" s="10">
        <f>'OXFORD CITY COUNCIL'!I5-Littlemore!I5-'Old Marston'!I5-'Risinghurst &amp; S'!I5-'Blackbird Leys'!I5</f>
        <v>237</v>
      </c>
      <c r="J5" s="10">
        <f>'OXFORD CITY COUNCIL'!J5-Littlemore!J5-'Old Marston'!J5-'Risinghurst &amp; S'!J5-'Blackbird Leys'!J5</f>
        <v>206</v>
      </c>
      <c r="K5" s="11">
        <f>SUM(C5:J5)</f>
        <v>5687</v>
      </c>
      <c r="L5" s="12"/>
      <c r="M5" s="12" t="s">
        <v>44</v>
      </c>
      <c r="N5" s="12" t="s">
        <v>43</v>
      </c>
      <c r="O5" s="43">
        <v>41729</v>
      </c>
      <c r="P5" s="12" t="s">
        <v>12</v>
      </c>
      <c r="Q5" s="15" t="s">
        <v>45</v>
      </c>
      <c r="R5" s="15" t="s">
        <v>46</v>
      </c>
      <c r="S5" s="43">
        <v>41951</v>
      </c>
      <c r="T5">
        <v>5777</v>
      </c>
      <c r="U5">
        <v>59</v>
      </c>
    </row>
    <row r="6" spans="1:21" ht="12" customHeight="1" x14ac:dyDescent="0.2">
      <c r="A6" s="8" t="s">
        <v>13</v>
      </c>
      <c r="B6" s="9"/>
      <c r="C6" s="13">
        <f>'OXFORD CITY COUNCIL'!C6-Littlemore!C6-'Old Marston'!C6-'Risinghurst &amp; S'!C6-'Blackbird Leys'!C6</f>
        <v>319.54000000000002</v>
      </c>
      <c r="D6" s="13">
        <f>'OXFORD CITY COUNCIL'!D6-Littlemore!D6-'Old Marston'!D6-'Risinghurst &amp; S'!D6-'Blackbird Leys'!D6</f>
        <v>1680.9200000000005</v>
      </c>
      <c r="E6" s="13">
        <f>'OXFORD CITY COUNCIL'!E6-Littlemore!E6-'Old Marston'!E6-'Risinghurst &amp; S'!E6-'Blackbird Leys'!E6</f>
        <v>2046.4999999999998</v>
      </c>
      <c r="F6" s="13">
        <f>'OXFORD CITY COUNCIL'!F6-Littlemore!F6-'Old Marston'!F6-'Risinghurst &amp; S'!F6-'Blackbird Leys'!F6</f>
        <v>776.77</v>
      </c>
      <c r="G6" s="13">
        <f>'OXFORD CITY COUNCIL'!G6-Littlemore!G6-'Old Marston'!G6-'Risinghurst &amp; S'!G6-'Blackbird Leys'!G6</f>
        <v>224.65</v>
      </c>
      <c r="H6" s="13">
        <f>'OXFORD CITY COUNCIL'!H6-Littlemore!H6-'Old Marston'!H6-'Risinghurst &amp; S'!H6-'Blackbird Leys'!H6</f>
        <v>23.270000000000003</v>
      </c>
      <c r="I6" s="13">
        <f>'OXFORD CITY COUNCIL'!I6-Littlemore!I6-'Old Marston'!I6-'Risinghurst &amp; S'!I6-'Blackbird Leys'!I6</f>
        <v>14.7</v>
      </c>
      <c r="J6" s="13">
        <f>'OXFORD CITY COUNCIL'!J6-Littlemore!J6-'Old Marston'!J6-'Risinghurst &amp; S'!J6-'Blackbird Leys'!J6</f>
        <v>0.45</v>
      </c>
      <c r="K6" s="11">
        <f>SUM(C6:J6)</f>
        <v>5086.7999999999993</v>
      </c>
      <c r="L6" s="12" t="s">
        <v>11</v>
      </c>
      <c r="M6" s="12" t="s">
        <v>43</v>
      </c>
      <c r="N6" s="43">
        <v>41951</v>
      </c>
    </row>
    <row r="7" spans="1:21" ht="24.75" customHeight="1" x14ac:dyDescent="0.2">
      <c r="A7" s="8" t="s">
        <v>53</v>
      </c>
      <c r="B7" s="9"/>
      <c r="C7" s="14">
        <f t="shared" ref="C7:K7" si="0">C4-C5-C6</f>
        <v>1029.46</v>
      </c>
      <c r="D7" s="14">
        <f t="shared" si="0"/>
        <v>4728.08</v>
      </c>
      <c r="E7" s="14">
        <f t="shared" si="0"/>
        <v>10714.5</v>
      </c>
      <c r="F7" s="14">
        <f t="shared" si="0"/>
        <v>10685.23</v>
      </c>
      <c r="G7" s="14">
        <f t="shared" si="0"/>
        <v>5156.3500000000004</v>
      </c>
      <c r="H7" s="14">
        <f t="shared" si="0"/>
        <v>2362.73</v>
      </c>
      <c r="I7" s="14">
        <f t="shared" si="0"/>
        <v>2863.3</v>
      </c>
      <c r="J7" s="14">
        <f t="shared" si="0"/>
        <v>365.55</v>
      </c>
      <c r="K7" s="11">
        <f t="shared" si="0"/>
        <v>37905.199999999997</v>
      </c>
      <c r="L7" s="15"/>
    </row>
    <row r="8" spans="1:21" ht="22.9" customHeight="1" x14ac:dyDescent="0.2">
      <c r="A8" s="8" t="s">
        <v>37</v>
      </c>
      <c r="B8" s="9"/>
      <c r="C8" s="14">
        <f>'OXFORD CITY COUNCIL'!C8-Littlemore!C8-'Old Marston'!C8-'Risinghurst &amp; S'!C8-'Blackbird Leys'!C8</f>
        <v>0</v>
      </c>
      <c r="D8" s="14">
        <f>'OXFORD CITY COUNCIL'!D8-Littlemore!D8-'Old Marston'!D8-'Risinghurst &amp; S'!D8-'Blackbird Leys'!D8</f>
        <v>17</v>
      </c>
      <c r="E8" s="14">
        <f>'OXFORD CITY COUNCIL'!E8-Littlemore!E8-'Old Marston'!E8-'Risinghurst &amp; S'!E8-'Blackbird Leys'!E8</f>
        <v>47</v>
      </c>
      <c r="F8" s="14">
        <f>'OXFORD CITY COUNCIL'!F8-Littlemore!F8-'Old Marston'!F8-'Risinghurst &amp; S'!F8-'Blackbird Leys'!F8</f>
        <v>51</v>
      </c>
      <c r="G8" s="14">
        <f>'OXFORD CITY COUNCIL'!G8-Littlemore!G8-'Old Marston'!G8-'Risinghurst &amp; S'!G8-'Blackbird Leys'!G8</f>
        <v>25</v>
      </c>
      <c r="H8" s="14">
        <f>'OXFORD CITY COUNCIL'!H8-Littlemore!H8-'Old Marston'!H8-'Risinghurst &amp; S'!H8-'Blackbird Leys'!H8</f>
        <v>12</v>
      </c>
      <c r="I8" s="14">
        <f>'OXFORD CITY COUNCIL'!I8-Littlemore!I8-'Old Marston'!I8-'Risinghurst &amp; S'!I8-'Blackbird Leys'!I8</f>
        <v>14</v>
      </c>
      <c r="J8" s="14">
        <f>'OXFORD CITY COUNCIL'!J8-Littlemore!J8-'Old Marston'!J8-'Risinghurst &amp; S'!J8-'Blackbird Leys'!J8</f>
        <v>6</v>
      </c>
      <c r="K8" s="11">
        <f>SUM(C8:J8)</f>
        <v>172</v>
      </c>
      <c r="L8" s="15" t="s">
        <v>11</v>
      </c>
      <c r="M8" s="12" t="s">
        <v>43</v>
      </c>
      <c r="N8" s="43">
        <v>41951</v>
      </c>
    </row>
    <row r="9" spans="1:21" ht="23.45" customHeight="1" x14ac:dyDescent="0.2">
      <c r="A9" s="8" t="s">
        <v>15</v>
      </c>
      <c r="B9" s="16">
        <f t="shared" ref="B9:I9" si="1">C8</f>
        <v>0</v>
      </c>
      <c r="C9" s="16">
        <f t="shared" si="1"/>
        <v>17</v>
      </c>
      <c r="D9" s="16">
        <f t="shared" si="1"/>
        <v>47</v>
      </c>
      <c r="E9" s="16">
        <f t="shared" si="1"/>
        <v>51</v>
      </c>
      <c r="F9" s="16">
        <f t="shared" si="1"/>
        <v>25</v>
      </c>
      <c r="G9" s="16">
        <f t="shared" si="1"/>
        <v>12</v>
      </c>
      <c r="H9" s="16">
        <f t="shared" si="1"/>
        <v>14</v>
      </c>
      <c r="I9" s="16">
        <f t="shared" si="1"/>
        <v>6</v>
      </c>
      <c r="J9" s="9"/>
      <c r="K9" s="17">
        <f>SUM(B9:I9)</f>
        <v>172</v>
      </c>
      <c r="L9" s="15" t="s">
        <v>11</v>
      </c>
      <c r="M9" s="12" t="s">
        <v>43</v>
      </c>
      <c r="N9" s="43">
        <v>41951</v>
      </c>
    </row>
    <row r="10" spans="1:21" ht="25.15" customHeight="1" x14ac:dyDescent="0.2">
      <c r="A10" s="8" t="s">
        <v>16</v>
      </c>
      <c r="B10" s="18">
        <f t="shared" ref="B10:K10" si="2">SUM(B7-B8+B9)</f>
        <v>0</v>
      </c>
      <c r="C10" s="18">
        <f t="shared" si="2"/>
        <v>1046.46</v>
      </c>
      <c r="D10" s="18">
        <f t="shared" si="2"/>
        <v>4758.08</v>
      </c>
      <c r="E10" s="18">
        <f t="shared" si="2"/>
        <v>10718.5</v>
      </c>
      <c r="F10" s="18">
        <f t="shared" si="2"/>
        <v>10659.23</v>
      </c>
      <c r="G10" s="18">
        <f t="shared" si="2"/>
        <v>5143.3500000000004</v>
      </c>
      <c r="H10" s="18">
        <f t="shared" si="2"/>
        <v>2364.73</v>
      </c>
      <c r="I10" s="18">
        <f t="shared" si="2"/>
        <v>2855.3</v>
      </c>
      <c r="J10" s="18">
        <f t="shared" si="2"/>
        <v>359.55</v>
      </c>
      <c r="K10" s="19">
        <f t="shared" si="2"/>
        <v>37905.199999999997</v>
      </c>
      <c r="L10" s="15"/>
    </row>
    <row r="11" spans="1:21" s="12" customFormat="1" ht="22.15" customHeight="1" x14ac:dyDescent="0.2">
      <c r="A11" s="8" t="s">
        <v>17</v>
      </c>
      <c r="B11" s="14">
        <f>'OXFORD CITY COUNCIL'!B11-Littlemore!B11-'Old Marston'!B11-'Risinghurst &amp; S'!B11-'Blackbird Leys'!B11</f>
        <v>0</v>
      </c>
      <c r="C11" s="14">
        <f>'OXFORD CITY COUNCIL'!C11-Littlemore!C11-'Old Marston'!C11-'Risinghurst &amp; S'!C11-'Blackbird Leys'!C11</f>
        <v>0</v>
      </c>
      <c r="D11" s="14">
        <f>'OXFORD CITY COUNCIL'!D11-Littlemore!D11-'Old Marston'!D11-'Risinghurst &amp; S'!D11-'Blackbird Leys'!D11</f>
        <v>5</v>
      </c>
      <c r="E11" s="14">
        <f>'OXFORD CITY COUNCIL'!E11-Littlemore!E11-'Old Marston'!E11-'Risinghurst &amp; S'!E11-'Blackbird Leys'!E11</f>
        <v>13</v>
      </c>
      <c r="F11" s="14">
        <f>'OXFORD CITY COUNCIL'!F11-Littlemore!F11-'Old Marston'!F11-'Risinghurst &amp; S'!F11-'Blackbird Leys'!F11</f>
        <v>31</v>
      </c>
      <c r="G11" s="14">
        <f>'OXFORD CITY COUNCIL'!G11-Littlemore!G11-'Old Marston'!G11-'Risinghurst &amp; S'!G11-'Blackbird Leys'!G11</f>
        <v>11</v>
      </c>
      <c r="H11" s="14">
        <f>'OXFORD CITY COUNCIL'!H11-Littlemore!H11-'Old Marston'!H11-'Risinghurst &amp; S'!H11-'Blackbird Leys'!H11</f>
        <v>7</v>
      </c>
      <c r="I11" s="14">
        <f>'OXFORD CITY COUNCIL'!I11-Littlemore!I11-'Old Marston'!I11-'Risinghurst &amp; S'!I11-'Blackbird Leys'!I11</f>
        <v>13</v>
      </c>
      <c r="J11" s="14">
        <f>'OXFORD CITY COUNCIL'!J11-Littlemore!J11-'Old Marston'!J11-'Risinghurst &amp; S'!J11-'Blackbird Leys'!J11</f>
        <v>2</v>
      </c>
      <c r="K11" s="19">
        <f>SUM(B11:J11)</f>
        <v>82</v>
      </c>
      <c r="L11" s="15" t="s">
        <v>11</v>
      </c>
      <c r="M11" s="12" t="s">
        <v>47</v>
      </c>
      <c r="O11" s="12" t="s">
        <v>48</v>
      </c>
    </row>
    <row r="12" spans="1:21" ht="22.15" customHeight="1" x14ac:dyDescent="0.2">
      <c r="A12" s="8" t="s">
        <v>41</v>
      </c>
      <c r="B12" s="14">
        <f>'OXFORD CITY COUNCIL'!B12-Littlemore!B12-'Old Marston'!B12-'Risinghurst &amp; S'!B12-'Blackbird Leys'!B12</f>
        <v>0</v>
      </c>
      <c r="C12" s="14">
        <f>'OXFORD CITY COUNCIL'!C12-Littlemore!C12-'Old Marston'!C12-'Risinghurst &amp; S'!C12-'Blackbird Leys'!C12</f>
        <v>876</v>
      </c>
      <c r="D12" s="14">
        <f>'OXFORD CITY COUNCIL'!D12-Littlemore!D12-'Old Marston'!D12-'Risinghurst &amp; S'!D12-'Blackbird Leys'!D12</f>
        <v>3455</v>
      </c>
      <c r="E12" s="14">
        <f>'OXFORD CITY COUNCIL'!E12-Littlemore!E12-'Old Marston'!E12-'Risinghurst &amp; S'!E12-'Blackbird Leys'!E12</f>
        <v>4252</v>
      </c>
      <c r="F12" s="14">
        <f>'OXFORD CITY COUNCIL'!F12-Littlemore!F12-'Old Marston'!F12-'Risinghurst &amp; S'!F12-'Blackbird Leys'!F12</f>
        <v>3399</v>
      </c>
      <c r="G12" s="14">
        <f>'OXFORD CITY COUNCIL'!G12-Littlemore!G12-'Old Marston'!G12-'Risinghurst &amp; S'!G12-'Blackbird Leys'!G12</f>
        <v>1448</v>
      </c>
      <c r="H12" s="14">
        <f>'OXFORD CITY COUNCIL'!H12-Littlemore!H12-'Old Marston'!H12-'Risinghurst &amp; S'!H12-'Blackbird Leys'!H12</f>
        <v>543</v>
      </c>
      <c r="I12" s="14">
        <f>'OXFORD CITY COUNCIL'!I12-Littlemore!I12-'Old Marston'!I12-'Risinghurst &amp; S'!I12-'Blackbird Leys'!I12</f>
        <v>479</v>
      </c>
      <c r="J12" s="14">
        <f>'OXFORD CITY COUNCIL'!J12-Littlemore!J12-'Old Marston'!J12-'Risinghurst &amp; S'!J12-'Blackbird Leys'!J12</f>
        <v>27</v>
      </c>
      <c r="K12" s="19">
        <f>SUM(B12:J12)</f>
        <v>14479</v>
      </c>
      <c r="L12" s="15" t="s">
        <v>11</v>
      </c>
      <c r="M12" s="12" t="s">
        <v>43</v>
      </c>
      <c r="N12" s="43">
        <v>41951</v>
      </c>
    </row>
    <row r="13" spans="1:21" s="12" customFormat="1" ht="22.9" customHeight="1" x14ac:dyDescent="0.2">
      <c r="A13" s="8" t="s">
        <v>38</v>
      </c>
      <c r="B13" s="21">
        <v>0</v>
      </c>
      <c r="C13" s="21">
        <f>C29</f>
        <v>2</v>
      </c>
      <c r="D13" s="21">
        <f t="shared" ref="D13:J13" si="3">D29</f>
        <v>9</v>
      </c>
      <c r="E13" s="21">
        <f t="shared" si="3"/>
        <v>23</v>
      </c>
      <c r="F13" s="21">
        <f t="shared" si="3"/>
        <v>32</v>
      </c>
      <c r="G13" s="21">
        <f t="shared" si="3"/>
        <v>17</v>
      </c>
      <c r="H13" s="21">
        <f t="shared" si="3"/>
        <v>14</v>
      </c>
      <c r="I13" s="21">
        <f t="shared" si="3"/>
        <v>28</v>
      </c>
      <c r="J13" s="21">
        <f t="shared" si="3"/>
        <v>16</v>
      </c>
      <c r="K13" s="22">
        <f>SUM(B13:J13)</f>
        <v>141</v>
      </c>
      <c r="L13" s="23" t="s">
        <v>11</v>
      </c>
      <c r="M13" s="12" t="s">
        <v>50</v>
      </c>
    </row>
    <row r="14" spans="1:21" ht="21" customHeight="1" x14ac:dyDescent="0.2">
      <c r="A14" s="8" t="s">
        <v>39</v>
      </c>
      <c r="B14" s="21">
        <v>0</v>
      </c>
      <c r="C14" s="21">
        <f>'OXFORD CITY COUNCIL'!C14-Littlemore!C14-'Old Marston'!C14-'Risinghurst &amp; S'!C14-'Blackbird Leys'!C14</f>
        <v>3</v>
      </c>
      <c r="D14" s="21">
        <f>'OXFORD CITY COUNCIL'!D14-Littlemore!D14-'Old Marston'!D14-'Risinghurst &amp; S'!D14-'Blackbird Leys'!D14</f>
        <v>13</v>
      </c>
      <c r="E14" s="21">
        <f>'OXFORD CITY COUNCIL'!E14-Littlemore!E14-'Old Marston'!E14-'Risinghurst &amp; S'!E14-'Blackbird Leys'!E14</f>
        <v>14</v>
      </c>
      <c r="F14" s="21">
        <f>'OXFORD CITY COUNCIL'!F14-Littlemore!F14-'Old Marston'!F14-'Risinghurst &amp; S'!F14-'Blackbird Leys'!F14</f>
        <v>16</v>
      </c>
      <c r="G14" s="21">
        <f>'OXFORD CITY COUNCIL'!G14-Littlemore!G14-'Old Marston'!G14-'Risinghurst &amp; S'!G14-'Blackbird Leys'!G14</f>
        <v>9</v>
      </c>
      <c r="H14" s="21">
        <f>'OXFORD CITY COUNCIL'!H14-Littlemore!H14-'Old Marston'!H14-'Risinghurst &amp; S'!H14-'Blackbird Leys'!H14</f>
        <v>1</v>
      </c>
      <c r="I14" s="21">
        <f>'OXFORD CITY COUNCIL'!I14-Littlemore!I14-'Old Marston'!I14-'Risinghurst &amp; S'!I14-'Blackbird Leys'!I14</f>
        <v>5</v>
      </c>
      <c r="J14" s="21">
        <f>'OXFORD CITY COUNCIL'!J14-Littlemore!J14-'Old Marston'!J14-'Risinghurst &amp; S'!J14-'Blackbird Leys'!J14</f>
        <v>1</v>
      </c>
      <c r="K14" s="22">
        <f>SUM(B14:J14)</f>
        <v>62</v>
      </c>
      <c r="L14" s="15" t="s">
        <v>11</v>
      </c>
      <c r="M14" s="12" t="s">
        <v>49</v>
      </c>
      <c r="O14" s="12" t="s">
        <v>48</v>
      </c>
      <c r="P14" s="12"/>
    </row>
    <row r="15" spans="1:21" ht="22.9" customHeight="1" x14ac:dyDescent="0.2">
      <c r="A15" s="8" t="s">
        <v>18</v>
      </c>
      <c r="B15" s="14">
        <f t="shared" ref="B15:K15" si="4">SUM(B10-B11-B12-B13-B14)</f>
        <v>0</v>
      </c>
      <c r="C15" s="14">
        <f t="shared" si="4"/>
        <v>165.46000000000004</v>
      </c>
      <c r="D15" s="14">
        <f t="shared" si="4"/>
        <v>1276.08</v>
      </c>
      <c r="E15" s="14">
        <f t="shared" si="4"/>
        <v>6416.5</v>
      </c>
      <c r="F15" s="14">
        <f t="shared" si="4"/>
        <v>7181.23</v>
      </c>
      <c r="G15" s="14">
        <f t="shared" si="4"/>
        <v>3658.3500000000004</v>
      </c>
      <c r="H15" s="14">
        <f t="shared" si="4"/>
        <v>1799.73</v>
      </c>
      <c r="I15" s="14">
        <f t="shared" si="4"/>
        <v>2330.3000000000002</v>
      </c>
      <c r="J15" s="14">
        <f t="shared" si="4"/>
        <v>313.55</v>
      </c>
      <c r="K15" s="11">
        <f t="shared" si="4"/>
        <v>23141.199999999997</v>
      </c>
    </row>
    <row r="16" spans="1:21" ht="34.9" customHeight="1" x14ac:dyDescent="0.2">
      <c r="A16" s="8" t="s">
        <v>19</v>
      </c>
      <c r="B16" s="24">
        <f>SUM((B11*0.75)+(B12*0.75)+(B13*0.5)+(B14*0.5)+B15)</f>
        <v>0</v>
      </c>
      <c r="C16" s="24">
        <f t="shared" ref="C16:J16" si="5">SUM((C11*0.75)+(C12*0.75)+(C13*0.5)+(C14*1.5)+C15)</f>
        <v>827.96</v>
      </c>
      <c r="D16" s="24">
        <f t="shared" si="5"/>
        <v>3895.08</v>
      </c>
      <c r="E16" s="24">
        <f t="shared" si="5"/>
        <v>9647.75</v>
      </c>
      <c r="F16" s="24">
        <f t="shared" si="5"/>
        <v>9793.73</v>
      </c>
      <c r="G16" s="24">
        <f t="shared" si="5"/>
        <v>4774.6000000000004</v>
      </c>
      <c r="H16" s="24">
        <f t="shared" si="5"/>
        <v>2220.73</v>
      </c>
      <c r="I16" s="24">
        <f t="shared" si="5"/>
        <v>2720.8</v>
      </c>
      <c r="J16" s="24">
        <f t="shared" si="5"/>
        <v>344.8</v>
      </c>
      <c r="K16" s="25">
        <f>SUM(B16:J16)</f>
        <v>34225.450000000004</v>
      </c>
    </row>
    <row r="17" spans="1:15" ht="13.15" customHeight="1" x14ac:dyDescent="0.2">
      <c r="A17" s="8" t="s">
        <v>20</v>
      </c>
      <c r="B17" s="26" t="s">
        <v>21</v>
      </c>
      <c r="C17" s="26" t="s">
        <v>22</v>
      </c>
      <c r="D17" s="27" t="s">
        <v>23</v>
      </c>
      <c r="E17" s="27" t="s">
        <v>24</v>
      </c>
      <c r="F17" s="27">
        <v>1</v>
      </c>
      <c r="G17" s="27" t="s">
        <v>25</v>
      </c>
      <c r="H17" s="27" t="s">
        <v>26</v>
      </c>
      <c r="I17" s="27" t="s">
        <v>27</v>
      </c>
      <c r="J17" s="27" t="s">
        <v>28</v>
      </c>
      <c r="K17" s="17"/>
    </row>
    <row r="18" spans="1:15" ht="3.6" hidden="1" customHeight="1" x14ac:dyDescent="0.2">
      <c r="A18" s="8"/>
      <c r="B18" s="26"/>
      <c r="C18" s="26"/>
      <c r="D18" s="27"/>
      <c r="E18" s="27"/>
      <c r="F18" s="27"/>
      <c r="G18" s="27"/>
      <c r="H18" s="27"/>
      <c r="I18" s="27"/>
      <c r="J18" s="27"/>
      <c r="K18" s="17"/>
    </row>
    <row r="19" spans="1:15" ht="17.45" customHeight="1" x14ac:dyDescent="0.25">
      <c r="A19" s="8" t="s">
        <v>29</v>
      </c>
      <c r="B19" s="28">
        <f>ROUND(B16/9*5,2)</f>
        <v>0</v>
      </c>
      <c r="C19" s="28">
        <f>ROUND(C16/9*6,2)</f>
        <v>551.97</v>
      </c>
      <c r="D19" s="28">
        <f>ROUND(D16/9*7,2)</f>
        <v>3029.51</v>
      </c>
      <c r="E19" s="28">
        <f>ROUND(E16/9*8,2)</f>
        <v>8575.7800000000007</v>
      </c>
      <c r="F19" s="28">
        <f>ROUND(F16*F17,2)</f>
        <v>9793.73</v>
      </c>
      <c r="G19" s="28">
        <f>ROUND(G16/9*11,2)</f>
        <v>5835.62</v>
      </c>
      <c r="H19" s="28">
        <f>ROUND(H16/9*13,2)</f>
        <v>3207.72</v>
      </c>
      <c r="I19" s="28">
        <f>ROUND(I16/9*15,2)</f>
        <v>4534.67</v>
      </c>
      <c r="J19" s="28">
        <f>ROUND(J16/9*18,2)</f>
        <v>689.6</v>
      </c>
      <c r="K19" s="29">
        <f>SUM(B19:J19)</f>
        <v>36218.6</v>
      </c>
    </row>
    <row r="20" spans="1:15" ht="25.15" customHeight="1" x14ac:dyDescent="0.25">
      <c r="A20" s="8" t="s">
        <v>40</v>
      </c>
      <c r="B20" s="30"/>
      <c r="C20" s="31"/>
      <c r="D20" s="16"/>
      <c r="E20" s="16"/>
      <c r="F20" s="16"/>
      <c r="G20" s="16"/>
      <c r="H20" s="16"/>
      <c r="I20" s="16"/>
      <c r="J20" s="16"/>
      <c r="K20" s="25">
        <v>0</v>
      </c>
      <c r="L20" s="32"/>
    </row>
    <row r="21" spans="1:15" ht="24.6" customHeight="1" x14ac:dyDescent="0.25">
      <c r="A21" s="8" t="s">
        <v>30</v>
      </c>
      <c r="B21" s="30"/>
      <c r="C21" s="31"/>
      <c r="D21" s="16"/>
      <c r="E21" s="16"/>
      <c r="F21" s="16"/>
      <c r="G21" s="16"/>
      <c r="H21" s="16"/>
      <c r="I21" s="16"/>
      <c r="J21" s="16"/>
      <c r="K21" s="29">
        <f>K19</f>
        <v>36218.6</v>
      </c>
      <c r="M21" s="33"/>
    </row>
    <row r="22" spans="1:15" ht="15.6" customHeight="1" thickBot="1" x14ac:dyDescent="0.3">
      <c r="A22" s="34" t="s">
        <v>52</v>
      </c>
      <c r="B22" s="35"/>
      <c r="C22" s="36"/>
      <c r="D22" s="36"/>
      <c r="E22" s="36"/>
      <c r="F22" s="36"/>
      <c r="G22" s="36"/>
      <c r="H22" s="36"/>
      <c r="I22" s="36"/>
      <c r="J22" s="36"/>
      <c r="K22" s="42">
        <f>SUM(K21/100*97.5)</f>
        <v>35313.134999999995</v>
      </c>
      <c r="M22" s="33"/>
    </row>
    <row r="23" spans="1:15" x14ac:dyDescent="0.2">
      <c r="F23" s="32"/>
      <c r="G23" s="37"/>
      <c r="H23" s="33"/>
      <c r="J23" s="33"/>
      <c r="K23" s="37"/>
      <c r="N23" s="12"/>
    </row>
    <row r="24" spans="1:15" x14ac:dyDescent="0.2">
      <c r="A24" s="40" t="s">
        <v>35</v>
      </c>
      <c r="F24" s="32"/>
      <c r="G24" s="37"/>
      <c r="H24" s="33"/>
      <c r="J24" s="33" t="s">
        <v>36</v>
      </c>
      <c r="K24" s="41">
        <v>34888.1</v>
      </c>
      <c r="L24" s="33">
        <f>SUM((K22-K24)/K24)</f>
        <v>1.2182807318254541E-2</v>
      </c>
      <c r="O24" s="12"/>
    </row>
    <row r="27" spans="1:15" x14ac:dyDescent="0.2">
      <c r="A27" s="12" t="s">
        <v>51</v>
      </c>
      <c r="C27" s="38">
        <f>'OXFORD CITY COUNCIL'!C27-Littlemore!C27-'Old Marston'!C27-'Risinghurst &amp; S'!C27-'Blackbird Leys'!C27</f>
        <v>0</v>
      </c>
      <c r="D27" s="38">
        <f>'OXFORD CITY COUNCIL'!D27-Littlemore!D27-'Old Marston'!D27-'Risinghurst &amp; S'!D27-'Blackbird Leys'!D27</f>
        <v>6</v>
      </c>
      <c r="E27" s="38">
        <f>'OXFORD CITY COUNCIL'!E27-Littlemore!E27-'Old Marston'!E27-'Risinghurst &amp; S'!E27-'Blackbird Leys'!E27</f>
        <v>5</v>
      </c>
      <c r="F27" s="38">
        <f>'OXFORD CITY COUNCIL'!F27-Littlemore!F27-'Old Marston'!F27-'Risinghurst &amp; S'!F27-'Blackbird Leys'!F27</f>
        <v>10</v>
      </c>
      <c r="G27" s="38">
        <f>'OXFORD CITY COUNCIL'!G27-Littlemore!G27-'Old Marston'!G27-'Risinghurst &amp; S'!G27-'Blackbird Leys'!G27</f>
        <v>4</v>
      </c>
      <c r="H27" s="38">
        <f>'OXFORD CITY COUNCIL'!H27-Littlemore!H27-'Old Marston'!H27-'Risinghurst &amp; S'!H27-'Blackbird Leys'!H27</f>
        <v>1</v>
      </c>
      <c r="I27" s="38">
        <f>'OXFORD CITY COUNCIL'!I27-Littlemore!I27-'Old Marston'!I27-'Risinghurst &amp; S'!I27-'Blackbird Leys'!I27</f>
        <v>3</v>
      </c>
      <c r="J27" s="38">
        <f>'OXFORD CITY COUNCIL'!J27-Littlemore!J27-'Old Marston'!J27-'Risinghurst &amp; S'!J27-'Blackbird Leys'!J27</f>
        <v>2</v>
      </c>
      <c r="K27" s="38">
        <f>SUM(C27:J27)</f>
        <v>31</v>
      </c>
      <c r="L27" s="12"/>
      <c r="M27" s="12" t="s">
        <v>46</v>
      </c>
      <c r="N27" s="43">
        <v>41951</v>
      </c>
      <c r="O27" s="12" t="s">
        <v>11</v>
      </c>
    </row>
    <row r="28" spans="1:15" x14ac:dyDescent="0.2">
      <c r="A28" t="s">
        <v>31</v>
      </c>
      <c r="C28" s="39">
        <f>'OXFORD CITY COUNCIL'!C28-Littlemore!C28-'Old Marston'!C28-'Risinghurst &amp; S'!C28-'Blackbird Leys'!C28</f>
        <v>2</v>
      </c>
      <c r="D28" s="39">
        <f>'OXFORD CITY COUNCIL'!D28-Littlemore!D28-'Old Marston'!D28-'Risinghurst &amp; S'!D28-'Blackbird Leys'!D28</f>
        <v>3</v>
      </c>
      <c r="E28" s="39">
        <f>'OXFORD CITY COUNCIL'!E28-Littlemore!E28-'Old Marston'!E28-'Risinghurst &amp; S'!E28-'Blackbird Leys'!E28</f>
        <v>18</v>
      </c>
      <c r="F28" s="39">
        <f>'OXFORD CITY COUNCIL'!F28-Littlemore!F28-'Old Marston'!F28-'Risinghurst &amp; S'!F28-'Blackbird Leys'!F28</f>
        <v>22</v>
      </c>
      <c r="G28" s="39">
        <f>'OXFORD CITY COUNCIL'!G28-Littlemore!G28-'Old Marston'!G28-'Risinghurst &amp; S'!G28-'Blackbird Leys'!G28</f>
        <v>13</v>
      </c>
      <c r="H28" s="39">
        <f>'OXFORD CITY COUNCIL'!H28-Littlemore!H28-'Old Marston'!H28-'Risinghurst &amp; S'!H28-'Blackbird Leys'!H28</f>
        <v>13</v>
      </c>
      <c r="I28" s="39">
        <f>'OXFORD CITY COUNCIL'!I28-Littlemore!I28-'Old Marston'!I28-'Risinghurst &amp; S'!I28-'Blackbird Leys'!I28</f>
        <v>25</v>
      </c>
      <c r="J28" s="39">
        <f>'OXFORD CITY COUNCIL'!J28-Littlemore!J28-'Old Marston'!J28-'Risinghurst &amp; S'!J28-'Blackbird Leys'!J28</f>
        <v>14</v>
      </c>
      <c r="K28" s="38">
        <f>SUM(C28:J28)</f>
        <v>110</v>
      </c>
      <c r="M28" s="12" t="s">
        <v>43</v>
      </c>
      <c r="N28" s="43">
        <v>41951</v>
      </c>
      <c r="O28" s="12" t="s">
        <v>11</v>
      </c>
    </row>
    <row r="29" spans="1:15" x14ac:dyDescent="0.2">
      <c r="C29" s="38">
        <f>C27+C28</f>
        <v>2</v>
      </c>
      <c r="D29" s="38">
        <f t="shared" ref="D29:K29" si="6">D27+D28</f>
        <v>9</v>
      </c>
      <c r="E29" s="38">
        <f t="shared" si="6"/>
        <v>23</v>
      </c>
      <c r="F29" s="38">
        <f t="shared" si="6"/>
        <v>32</v>
      </c>
      <c r="G29" s="38">
        <f t="shared" si="6"/>
        <v>17</v>
      </c>
      <c r="H29" s="38">
        <f t="shared" si="6"/>
        <v>14</v>
      </c>
      <c r="I29" s="38">
        <f t="shared" si="6"/>
        <v>28</v>
      </c>
      <c r="J29" s="38">
        <f t="shared" si="6"/>
        <v>16</v>
      </c>
      <c r="K29" s="38">
        <f t="shared" si="6"/>
        <v>141</v>
      </c>
    </row>
    <row r="30" spans="1:15" x14ac:dyDescent="0.2">
      <c r="C30" s="38"/>
      <c r="D30" s="38"/>
      <c r="E30" s="38"/>
      <c r="F30" s="38"/>
      <c r="G30" s="38"/>
      <c r="H30" s="38"/>
      <c r="I30" s="38"/>
      <c r="J30" s="38"/>
      <c r="K30" s="38"/>
    </row>
    <row r="31" spans="1:15" x14ac:dyDescent="0.2">
      <c r="C31" s="38"/>
      <c r="D31" s="38"/>
      <c r="E31" s="38"/>
      <c r="F31" s="38"/>
      <c r="G31" s="38"/>
      <c r="H31" s="38"/>
      <c r="I31" s="38"/>
      <c r="J31" s="38"/>
      <c r="K31" s="38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topLeftCell="A25" workbookViewId="0">
      <selection activeCell="I49" sqref="I49"/>
    </sheetView>
  </sheetViews>
  <sheetFormatPr defaultRowHeight="12.75" x14ac:dyDescent="0.2"/>
  <sheetData>
    <row r="2" spans="2:14" x14ac:dyDescent="0.2">
      <c r="E2" s="2" t="s">
        <v>35</v>
      </c>
      <c r="F2" s="2"/>
      <c r="G2" s="2" t="s">
        <v>67</v>
      </c>
      <c r="I2" s="12" t="s">
        <v>69</v>
      </c>
    </row>
    <row r="3" spans="2:14" x14ac:dyDescent="0.2">
      <c r="G3" s="12" t="s">
        <v>68</v>
      </c>
      <c r="I3" s="12" t="s">
        <v>35</v>
      </c>
    </row>
    <row r="4" spans="2:14" x14ac:dyDescent="0.2">
      <c r="G4" s="12"/>
    </row>
    <row r="5" spans="2:14" x14ac:dyDescent="0.2">
      <c r="B5" s="12" t="s">
        <v>61</v>
      </c>
      <c r="E5" s="41">
        <v>41752.5</v>
      </c>
      <c r="F5" s="41"/>
      <c r="G5" s="41">
        <f>'OXFORD CITY COUNCIL'!K22</f>
        <v>42276.468000000001</v>
      </c>
      <c r="H5" s="41"/>
      <c r="I5" s="44">
        <f>SUM((G5-E5)/E5)</f>
        <v>1.254938027663016E-2</v>
      </c>
      <c r="J5" s="41"/>
      <c r="K5" s="41"/>
      <c r="L5" s="41"/>
      <c r="M5" s="41"/>
      <c r="N5" s="41"/>
    </row>
    <row r="6" spans="2:14" x14ac:dyDescent="0.2">
      <c r="E6" s="41"/>
      <c r="F6" s="41"/>
      <c r="G6" s="41"/>
      <c r="H6" s="41"/>
      <c r="I6" s="44"/>
      <c r="J6" s="41"/>
      <c r="K6" s="41"/>
      <c r="L6" s="41"/>
      <c r="M6" s="41"/>
      <c r="N6" s="41"/>
    </row>
    <row r="7" spans="2:14" x14ac:dyDescent="0.2">
      <c r="B7" s="12" t="s">
        <v>62</v>
      </c>
      <c r="E7" s="41">
        <v>1625</v>
      </c>
      <c r="F7" s="41"/>
      <c r="G7" s="41">
        <f>Littlemore!K22</f>
        <v>1653.0929999999998</v>
      </c>
      <c r="H7" s="41"/>
      <c r="I7" s="44">
        <f t="shared" ref="I7:I12" si="0">SUM((G7-E7)/E7)</f>
        <v>1.7287999999999908E-2</v>
      </c>
      <c r="J7" s="41"/>
      <c r="K7" s="41"/>
      <c r="L7" s="41"/>
      <c r="M7" s="41"/>
      <c r="N7" s="41"/>
    </row>
    <row r="8" spans="2:14" x14ac:dyDescent="0.2">
      <c r="B8" s="12" t="s">
        <v>63</v>
      </c>
      <c r="E8" s="41">
        <v>1220.8</v>
      </c>
      <c r="F8" s="41"/>
      <c r="G8" s="41">
        <f>'Old Marston'!K22</f>
        <v>1218.81825</v>
      </c>
      <c r="H8" s="41"/>
      <c r="I8" s="44">
        <f t="shared" si="0"/>
        <v>-1.6233207732633684E-3</v>
      </c>
      <c r="J8" s="41"/>
      <c r="K8" s="41"/>
      <c r="L8" s="41"/>
      <c r="M8" s="41"/>
      <c r="N8" s="41"/>
    </row>
    <row r="9" spans="2:14" x14ac:dyDescent="0.2">
      <c r="B9" s="12" t="s">
        <v>64</v>
      </c>
      <c r="E9" s="41">
        <v>1382.3</v>
      </c>
      <c r="F9" s="41"/>
      <c r="G9" s="41">
        <f>'Risinghurst &amp; S'!K22</f>
        <v>1399.85625</v>
      </c>
      <c r="H9" s="41"/>
      <c r="I9" s="44">
        <f t="shared" si="0"/>
        <v>1.2700752369239739E-2</v>
      </c>
      <c r="J9" s="41"/>
      <c r="K9" s="41"/>
      <c r="L9" s="41"/>
      <c r="M9" s="41"/>
      <c r="N9" s="41"/>
    </row>
    <row r="10" spans="2:14" x14ac:dyDescent="0.2">
      <c r="B10" s="12" t="s">
        <v>65</v>
      </c>
      <c r="E10" s="41">
        <v>2636.3</v>
      </c>
      <c r="F10" s="41"/>
      <c r="G10" s="41">
        <f>'Blackbird Leys'!K22</f>
        <v>2691.5752499999999</v>
      </c>
      <c r="H10" s="41"/>
      <c r="I10" s="44">
        <f t="shared" si="0"/>
        <v>2.0966980237453886E-2</v>
      </c>
      <c r="J10" s="41"/>
      <c r="K10" s="41"/>
      <c r="L10" s="41"/>
      <c r="M10" s="41"/>
      <c r="N10" s="41"/>
    </row>
    <row r="11" spans="2:14" x14ac:dyDescent="0.2">
      <c r="E11" s="41"/>
      <c r="F11" s="41"/>
      <c r="G11" s="41"/>
      <c r="H11" s="41"/>
      <c r="I11" s="44"/>
      <c r="J11" s="41"/>
      <c r="K11" s="41"/>
      <c r="L11" s="41"/>
      <c r="M11" s="41"/>
      <c r="N11" s="41"/>
    </row>
    <row r="12" spans="2:14" x14ac:dyDescent="0.2">
      <c r="B12" s="12" t="s">
        <v>66</v>
      </c>
      <c r="E12" s="41">
        <v>34888.1</v>
      </c>
      <c r="F12" s="41"/>
      <c r="G12" s="41">
        <f>'Unparished area'!K22</f>
        <v>35313.134999999995</v>
      </c>
      <c r="H12" s="41"/>
      <c r="I12" s="44">
        <f t="shared" si="0"/>
        <v>1.2182807318254541E-2</v>
      </c>
      <c r="J12" s="41"/>
      <c r="K12" s="41"/>
      <c r="L12" s="41"/>
      <c r="M12" s="41"/>
      <c r="N12" s="41"/>
    </row>
    <row r="13" spans="2:14" x14ac:dyDescent="0.2"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2:14" x14ac:dyDescent="0.2"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2:14" x14ac:dyDescent="0.2">
      <c r="B15" s="2" t="s">
        <v>94</v>
      </c>
    </row>
    <row r="17" spans="2:9" x14ac:dyDescent="0.2">
      <c r="B17" s="12" t="s">
        <v>61</v>
      </c>
      <c r="E17" s="41">
        <v>41752.5</v>
      </c>
      <c r="F17" s="41"/>
      <c r="G17" s="41">
        <f>'Appendices 1 and 2 151114'!K25</f>
        <v>42238.716</v>
      </c>
      <c r="H17" s="41"/>
      <c r="I17" s="44">
        <f>SUM((G17-E17)/E17)</f>
        <v>1.1645194898509079E-2</v>
      </c>
    </row>
    <row r="18" spans="2:9" x14ac:dyDescent="0.2">
      <c r="E18" s="41"/>
      <c r="F18" s="41"/>
      <c r="G18" s="41"/>
      <c r="H18" s="41"/>
      <c r="I18" s="44"/>
    </row>
    <row r="19" spans="2:9" x14ac:dyDescent="0.2">
      <c r="B19" s="12" t="s">
        <v>62</v>
      </c>
      <c r="E19" s="41">
        <v>1625</v>
      </c>
      <c r="F19" s="41"/>
      <c r="G19" s="41">
        <f>'Appendices 1 and 2 151114'!K51</f>
        <v>1652.8492500000002</v>
      </c>
      <c r="H19" s="41"/>
      <c r="I19" s="44">
        <f t="shared" ref="I19:I22" si="1">SUM((G19-E19)/E19)</f>
        <v>1.7138000000000129E-2</v>
      </c>
    </row>
    <row r="20" spans="2:9" x14ac:dyDescent="0.2">
      <c r="B20" s="12" t="s">
        <v>63</v>
      </c>
      <c r="E20" s="41">
        <v>1220.8</v>
      </c>
      <c r="F20" s="41"/>
      <c r="G20" s="41">
        <f>'Appendices 1 and 2 151114'!K76</f>
        <v>1214.3722499999999</v>
      </c>
      <c r="H20" s="41"/>
      <c r="I20" s="44">
        <f t="shared" si="1"/>
        <v>-5.2651949541284897E-3</v>
      </c>
    </row>
    <row r="21" spans="2:9" x14ac:dyDescent="0.2">
      <c r="B21" s="12" t="s">
        <v>64</v>
      </c>
      <c r="E21" s="41">
        <v>1382.3</v>
      </c>
      <c r="F21" s="41"/>
      <c r="G21" s="41">
        <f>'Appendices 1 and 2 151114'!K101</f>
        <v>1396.3365000000001</v>
      </c>
      <c r="H21" s="41"/>
      <c r="I21" s="44">
        <f t="shared" si="1"/>
        <v>1.015445272372145E-2</v>
      </c>
    </row>
    <row r="22" spans="2:9" x14ac:dyDescent="0.2">
      <c r="B22" s="12" t="s">
        <v>65</v>
      </c>
      <c r="E22" s="41">
        <v>2636.3</v>
      </c>
      <c r="F22" s="41"/>
      <c r="G22" s="41">
        <f>'Appendices 1 and 2 151114'!K126</f>
        <v>2693.2132499999998</v>
      </c>
      <c r="H22" s="41"/>
      <c r="I22" s="44">
        <f t="shared" si="1"/>
        <v>2.1588305579789708E-2</v>
      </c>
    </row>
    <row r="23" spans="2:9" x14ac:dyDescent="0.2">
      <c r="E23" s="41"/>
      <c r="F23" s="41"/>
      <c r="G23" s="41"/>
      <c r="H23" s="41"/>
      <c r="I23" s="44"/>
    </row>
    <row r="24" spans="2:9" x14ac:dyDescent="0.2">
      <c r="B24" s="12" t="s">
        <v>66</v>
      </c>
      <c r="E24" s="41">
        <v>34888.1</v>
      </c>
      <c r="F24" s="41"/>
      <c r="G24" s="41">
        <f>'Appendices 1 and 2 151114'!K151</f>
        <v>35281.974000000002</v>
      </c>
      <c r="H24" s="41"/>
      <c r="I24" s="44">
        <f t="shared" ref="I24" si="2">SUM((G24-E24)/E24)</f>
        <v>1.1289637440846691E-2</v>
      </c>
    </row>
    <row r="26" spans="2:9" x14ac:dyDescent="0.2">
      <c r="B26" s="2" t="s">
        <v>95</v>
      </c>
    </row>
    <row r="28" spans="2:9" x14ac:dyDescent="0.2">
      <c r="B28" s="12" t="s">
        <v>61</v>
      </c>
      <c r="E28" s="41">
        <v>41752.5</v>
      </c>
      <c r="F28" s="41"/>
      <c r="G28" s="41">
        <f>'Appendices 1 and 2 221114'!K25</f>
        <v>42657.790500000003</v>
      </c>
      <c r="H28" s="41"/>
      <c r="I28" s="44">
        <f>SUM((G28-E28)/E28)</f>
        <v>2.1682306448715712E-2</v>
      </c>
    </row>
    <row r="29" spans="2:9" x14ac:dyDescent="0.2">
      <c r="E29" s="41"/>
      <c r="F29" s="41"/>
      <c r="G29" s="41"/>
      <c r="H29" s="41"/>
      <c r="I29" s="44"/>
    </row>
    <row r="30" spans="2:9" x14ac:dyDescent="0.2">
      <c r="B30" s="12" t="s">
        <v>62</v>
      </c>
      <c r="E30" s="41">
        <v>1625</v>
      </c>
      <c r="F30" s="41"/>
      <c r="G30" s="41">
        <f>'Appendices 1 and 2 221114'!K51</f>
        <v>1663.0965000000001</v>
      </c>
      <c r="H30" s="41"/>
      <c r="I30" s="44">
        <f t="shared" ref="I30:I33" si="3">SUM((G30-E30)/E30)</f>
        <v>2.3444000000000065E-2</v>
      </c>
    </row>
    <row r="31" spans="2:9" x14ac:dyDescent="0.2">
      <c r="B31" s="12" t="s">
        <v>63</v>
      </c>
      <c r="E31" s="41">
        <v>1220.8</v>
      </c>
      <c r="F31" s="41"/>
      <c r="G31" s="41">
        <f>'Appendices 1 and 2 221114'!K76</f>
        <v>1220.895</v>
      </c>
      <c r="H31" s="41"/>
      <c r="I31" s="44">
        <f t="shared" si="3"/>
        <v>7.7817824377479763E-5</v>
      </c>
    </row>
    <row r="32" spans="2:9" x14ac:dyDescent="0.2">
      <c r="B32" s="12" t="s">
        <v>64</v>
      </c>
      <c r="E32" s="41">
        <v>1382.3</v>
      </c>
      <c r="F32" s="41"/>
      <c r="G32" s="41">
        <f>'Appendices 1 and 2 221114'!K101</f>
        <v>1397.4</v>
      </c>
      <c r="H32" s="41"/>
      <c r="I32" s="44">
        <f t="shared" si="3"/>
        <v>1.0923822614483207E-2</v>
      </c>
    </row>
    <row r="33" spans="2:11" x14ac:dyDescent="0.2">
      <c r="B33" s="12" t="s">
        <v>65</v>
      </c>
      <c r="E33" s="41">
        <v>2636.3</v>
      </c>
      <c r="F33" s="41"/>
      <c r="G33" s="41">
        <f>'Appendices 1 and 2 221114'!K126</f>
        <v>2694.2272499999999</v>
      </c>
      <c r="H33" s="41"/>
      <c r="I33" s="44">
        <f t="shared" si="3"/>
        <v>2.1972935553616707E-2</v>
      </c>
    </row>
    <row r="34" spans="2:11" x14ac:dyDescent="0.2">
      <c r="E34" s="41"/>
      <c r="F34" s="41"/>
      <c r="G34" s="41"/>
      <c r="H34" s="41"/>
      <c r="I34" s="44"/>
    </row>
    <row r="35" spans="2:11" x14ac:dyDescent="0.2">
      <c r="B35" s="12" t="s">
        <v>66</v>
      </c>
      <c r="E35" s="41">
        <v>34888.1</v>
      </c>
      <c r="F35" s="41"/>
      <c r="G35" s="41">
        <f>'Appendices 1 and 2 221114'!K151</f>
        <v>35682.231</v>
      </c>
      <c r="H35" s="41"/>
      <c r="I35" s="44">
        <f t="shared" ref="I35" si="4">SUM((G35-E35)/E35)</f>
        <v>2.2762231247904049E-2</v>
      </c>
    </row>
    <row r="37" spans="2:11" x14ac:dyDescent="0.2">
      <c r="B37" s="2" t="s">
        <v>113</v>
      </c>
    </row>
    <row r="39" spans="2:11" x14ac:dyDescent="0.2">
      <c r="B39" s="12" t="s">
        <v>61</v>
      </c>
      <c r="E39" s="41">
        <v>41752.5</v>
      </c>
      <c r="F39" s="41"/>
      <c r="G39" s="41">
        <f>'Appendices 1 and 2 291114'!K25</f>
        <v>42658.667999999998</v>
      </c>
      <c r="H39" s="41"/>
      <c r="I39" s="44">
        <f>SUM((G39-E39)/E39)</f>
        <v>2.1703323154302085E-2</v>
      </c>
      <c r="K39" s="12"/>
    </row>
    <row r="40" spans="2:11" x14ac:dyDescent="0.2">
      <c r="E40" s="41"/>
      <c r="F40" s="41"/>
      <c r="G40" s="41"/>
      <c r="H40" s="41"/>
      <c r="I40" s="44"/>
    </row>
    <row r="41" spans="2:11" x14ac:dyDescent="0.2">
      <c r="B41" s="12" t="s">
        <v>62</v>
      </c>
      <c r="E41" s="41">
        <v>1625</v>
      </c>
      <c r="F41" s="41"/>
      <c r="G41" s="41">
        <f>'Appendices 1 and 2 291114'!K51</f>
        <v>1663.0965000000001</v>
      </c>
      <c r="H41" s="41"/>
      <c r="I41" s="44">
        <f t="shared" ref="I41:I44" si="5">SUM((G41-E41)/E41)</f>
        <v>2.3444000000000065E-2</v>
      </c>
    </row>
    <row r="42" spans="2:11" x14ac:dyDescent="0.2">
      <c r="B42" s="12" t="s">
        <v>63</v>
      </c>
      <c r="E42" s="41">
        <v>1220.8</v>
      </c>
      <c r="F42" s="41"/>
      <c r="G42" s="41">
        <f>'Appendices 1 and 2 291114'!K76</f>
        <v>1220.895</v>
      </c>
      <c r="H42" s="41"/>
      <c r="I42" s="44">
        <f t="shared" si="5"/>
        <v>7.7817824377479763E-5</v>
      </c>
    </row>
    <row r="43" spans="2:11" x14ac:dyDescent="0.2">
      <c r="B43" s="12" t="s">
        <v>64</v>
      </c>
      <c r="E43" s="41">
        <v>1382.3</v>
      </c>
      <c r="F43" s="41"/>
      <c r="G43" s="41">
        <f>'Appendices 1 and 2 291114'!K101</f>
        <v>1397.4</v>
      </c>
      <c r="H43" s="41"/>
      <c r="I43" s="44">
        <f t="shared" si="5"/>
        <v>1.0923822614483207E-2</v>
      </c>
    </row>
    <row r="44" spans="2:11" x14ac:dyDescent="0.2">
      <c r="B44" s="12" t="s">
        <v>65</v>
      </c>
      <c r="E44" s="41">
        <v>2636.3</v>
      </c>
      <c r="F44" s="41"/>
      <c r="G44" s="41">
        <f>'Appendices 1 and 2 291114'!K126</f>
        <v>2694.2272499999999</v>
      </c>
      <c r="H44" s="41"/>
      <c r="I44" s="44">
        <f t="shared" si="5"/>
        <v>2.1972935553616707E-2</v>
      </c>
    </row>
    <row r="45" spans="2:11" x14ac:dyDescent="0.2">
      <c r="E45" s="41"/>
      <c r="F45" s="41"/>
      <c r="G45" s="41"/>
      <c r="H45" s="41"/>
      <c r="I45" s="44"/>
    </row>
    <row r="46" spans="2:11" x14ac:dyDescent="0.2">
      <c r="B46" s="12" t="s">
        <v>66</v>
      </c>
      <c r="E46" s="41">
        <v>34888.1</v>
      </c>
      <c r="F46" s="41"/>
      <c r="G46" s="41">
        <f>'Appendices 1 and 2 291114'!K151</f>
        <v>35683.089</v>
      </c>
      <c r="H46" s="41"/>
      <c r="I46" s="44">
        <f t="shared" ref="I46" si="6">SUM((G46-E46)/E46)</f>
        <v>2.2786824160673739E-2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opLeftCell="A128" zoomScaleNormal="100" workbookViewId="0">
      <selection activeCell="O150" sqref="O150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7.85546875" customWidth="1"/>
    <col min="11" max="11" width="9.85546875" customWidth="1"/>
    <col min="12" max="12" width="9.28515625" bestFit="1" customWidth="1"/>
  </cols>
  <sheetData>
    <row r="1" spans="1:13" ht="14.45" hidden="1" customHeight="1" x14ac:dyDescent="0.25">
      <c r="A1" s="1" t="s">
        <v>70</v>
      </c>
      <c r="D1" s="2" t="s">
        <v>32</v>
      </c>
    </row>
    <row r="2" spans="1:13" ht="16.149999999999999" hidden="1" customHeight="1" thickBot="1" x14ac:dyDescent="0.3">
      <c r="C2" s="1" t="s">
        <v>71</v>
      </c>
    </row>
    <row r="3" spans="1:13" ht="15.75" hidden="1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13" ht="13.15" hidden="1" customHeight="1" x14ac:dyDescent="0.2">
      <c r="A4" s="8" t="s">
        <v>34</v>
      </c>
      <c r="B4" s="45"/>
      <c r="C4" s="10">
        <v>2440</v>
      </c>
      <c r="D4" s="10">
        <v>9173</v>
      </c>
      <c r="E4" s="10">
        <v>18801</v>
      </c>
      <c r="F4" s="10">
        <v>15712</v>
      </c>
      <c r="G4" s="10">
        <v>6848</v>
      </c>
      <c r="H4" s="10">
        <v>2792</v>
      </c>
      <c r="I4" s="10">
        <v>3216</v>
      </c>
      <c r="J4" s="10">
        <v>579</v>
      </c>
      <c r="K4" s="46">
        <f>SUM(B4:J4)</f>
        <v>59561</v>
      </c>
    </row>
    <row r="5" spans="1:13" ht="11.45" hidden="1" customHeight="1" x14ac:dyDescent="0.2">
      <c r="A5" s="8" t="s">
        <v>72</v>
      </c>
      <c r="B5" s="45"/>
      <c r="C5" s="77">
        <v>3</v>
      </c>
      <c r="D5" s="77">
        <v>13</v>
      </c>
      <c r="E5" s="77">
        <v>26</v>
      </c>
      <c r="F5" s="77">
        <v>22</v>
      </c>
      <c r="G5" s="77">
        <v>10</v>
      </c>
      <c r="H5" s="77">
        <v>4</v>
      </c>
      <c r="I5" s="77">
        <v>4</v>
      </c>
      <c r="J5" s="77">
        <v>1</v>
      </c>
      <c r="K5" s="48">
        <f>SUM(C5:J5)</f>
        <v>83</v>
      </c>
    </row>
    <row r="6" spans="1:13" ht="11.45" hidden="1" customHeight="1" x14ac:dyDescent="0.2">
      <c r="A6" s="8" t="s">
        <v>83</v>
      </c>
      <c r="B6" s="45"/>
      <c r="C6" s="78">
        <v>28</v>
      </c>
      <c r="D6" s="78">
        <v>107</v>
      </c>
      <c r="E6" s="78">
        <v>221</v>
      </c>
      <c r="F6" s="78">
        <v>185</v>
      </c>
      <c r="G6" s="78">
        <v>80</v>
      </c>
      <c r="H6" s="78">
        <v>33</v>
      </c>
      <c r="I6" s="78">
        <v>38</v>
      </c>
      <c r="J6" s="78">
        <v>7</v>
      </c>
      <c r="K6" s="50">
        <f>SUM(B6:J6)</f>
        <v>699</v>
      </c>
    </row>
    <row r="7" spans="1:13" ht="12" hidden="1" customHeight="1" x14ac:dyDescent="0.2">
      <c r="A7" s="8" t="s">
        <v>84</v>
      </c>
      <c r="B7" s="45"/>
      <c r="C7" s="10">
        <v>468</v>
      </c>
      <c r="D7" s="10">
        <v>765</v>
      </c>
      <c r="E7" s="10">
        <v>1166</v>
      </c>
      <c r="F7" s="10">
        <v>1801</v>
      </c>
      <c r="G7" s="10">
        <v>1033</v>
      </c>
      <c r="H7" s="10">
        <v>240</v>
      </c>
      <c r="I7" s="10">
        <v>235</v>
      </c>
      <c r="J7" s="10">
        <v>206</v>
      </c>
      <c r="K7" s="46">
        <f>SUM(C7:J7)</f>
        <v>5914</v>
      </c>
      <c r="L7" s="12"/>
      <c r="M7" s="12"/>
    </row>
    <row r="8" spans="1:13" ht="12" hidden="1" customHeight="1" x14ac:dyDescent="0.2">
      <c r="A8" s="8" t="s">
        <v>13</v>
      </c>
      <c r="B8" s="45"/>
      <c r="C8" s="80">
        <v>557</v>
      </c>
      <c r="D8" s="80">
        <v>2346</v>
      </c>
      <c r="E8" s="80">
        <v>2877</v>
      </c>
      <c r="F8" s="80">
        <v>1000</v>
      </c>
      <c r="G8" s="80">
        <v>257</v>
      </c>
      <c r="H8" s="80">
        <v>27</v>
      </c>
      <c r="I8" s="80">
        <v>14.7</v>
      </c>
      <c r="J8" s="80">
        <v>0.45</v>
      </c>
      <c r="K8" s="46">
        <f>SUM(C8:J8)</f>
        <v>7079.15</v>
      </c>
      <c r="L8" s="12"/>
    </row>
    <row r="9" spans="1:13" ht="24.75" hidden="1" customHeight="1" x14ac:dyDescent="0.2">
      <c r="A9" s="8" t="s">
        <v>85</v>
      </c>
      <c r="B9" s="45"/>
      <c r="C9" s="14">
        <f>C4+C5+C6-C7-C8</f>
        <v>1446</v>
      </c>
      <c r="D9" s="14">
        <f t="shared" ref="D9:J9" si="0">D4+D5+D6-D7-D8</f>
        <v>6182</v>
      </c>
      <c r="E9" s="14">
        <f t="shared" si="0"/>
        <v>15005</v>
      </c>
      <c r="F9" s="14">
        <f t="shared" si="0"/>
        <v>13118</v>
      </c>
      <c r="G9" s="14">
        <f t="shared" si="0"/>
        <v>5648</v>
      </c>
      <c r="H9" s="14">
        <f t="shared" si="0"/>
        <v>2562</v>
      </c>
      <c r="I9" s="14">
        <f t="shared" si="0"/>
        <v>3008.3</v>
      </c>
      <c r="J9" s="14">
        <f t="shared" si="0"/>
        <v>380.55</v>
      </c>
      <c r="K9" s="46">
        <f>K4+K5+K6-K7-K8</f>
        <v>47349.85</v>
      </c>
      <c r="L9" s="12"/>
    </row>
    <row r="10" spans="1:13" ht="22.9" hidden="1" customHeight="1" x14ac:dyDescent="0.2">
      <c r="A10" s="8" t="s">
        <v>86</v>
      </c>
      <c r="B10" s="45"/>
      <c r="C10" s="14">
        <v>2</v>
      </c>
      <c r="D10" s="14">
        <v>20</v>
      </c>
      <c r="E10" s="14">
        <v>77</v>
      </c>
      <c r="F10" s="14">
        <v>67</v>
      </c>
      <c r="G10" s="14">
        <v>29</v>
      </c>
      <c r="H10" s="14">
        <v>13</v>
      </c>
      <c r="I10" s="14">
        <v>16</v>
      </c>
      <c r="J10" s="14">
        <v>8</v>
      </c>
      <c r="K10" s="50">
        <f>SUM(C10:J10)</f>
        <v>232</v>
      </c>
    </row>
    <row r="11" spans="1:13" ht="23.45" hidden="1" customHeight="1" x14ac:dyDescent="0.2">
      <c r="A11" s="8" t="s">
        <v>15</v>
      </c>
      <c r="B11" s="16">
        <f t="shared" ref="B11:I11" si="1">C10</f>
        <v>2</v>
      </c>
      <c r="C11" s="16">
        <f t="shared" si="1"/>
        <v>20</v>
      </c>
      <c r="D11" s="16">
        <f t="shared" si="1"/>
        <v>77</v>
      </c>
      <c r="E11" s="16">
        <f t="shared" si="1"/>
        <v>67</v>
      </c>
      <c r="F11" s="16">
        <f t="shared" si="1"/>
        <v>29</v>
      </c>
      <c r="G11" s="16">
        <f t="shared" si="1"/>
        <v>13</v>
      </c>
      <c r="H11" s="16">
        <f t="shared" si="1"/>
        <v>16</v>
      </c>
      <c r="I11" s="16">
        <f t="shared" si="1"/>
        <v>8</v>
      </c>
      <c r="J11" s="45"/>
      <c r="K11" s="50">
        <f>SUM(B11:I11)</f>
        <v>232</v>
      </c>
    </row>
    <row r="12" spans="1:13" ht="25.15" hidden="1" customHeight="1" x14ac:dyDescent="0.2">
      <c r="A12" s="8" t="s">
        <v>16</v>
      </c>
      <c r="B12" s="18">
        <f t="shared" ref="B12:K12" si="2">SUM(B9-B10+B11)</f>
        <v>2</v>
      </c>
      <c r="C12" s="18">
        <f t="shared" si="2"/>
        <v>1464</v>
      </c>
      <c r="D12" s="18">
        <f t="shared" si="2"/>
        <v>6239</v>
      </c>
      <c r="E12" s="18">
        <f t="shared" si="2"/>
        <v>14995</v>
      </c>
      <c r="F12" s="18">
        <f t="shared" si="2"/>
        <v>13080</v>
      </c>
      <c r="G12" s="18">
        <f t="shared" si="2"/>
        <v>5632</v>
      </c>
      <c r="H12" s="18">
        <f t="shared" si="2"/>
        <v>2565</v>
      </c>
      <c r="I12" s="18">
        <f t="shared" si="2"/>
        <v>3000.3</v>
      </c>
      <c r="J12" s="18">
        <f t="shared" si="2"/>
        <v>372.55</v>
      </c>
      <c r="K12" s="52">
        <f t="shared" si="2"/>
        <v>47349.85</v>
      </c>
      <c r="L12" s="12"/>
    </row>
    <row r="13" spans="1:13" s="12" customFormat="1" ht="22.15" hidden="1" customHeight="1" x14ac:dyDescent="0.2">
      <c r="A13" s="8" t="s">
        <v>91</v>
      </c>
      <c r="B13" s="14">
        <v>0</v>
      </c>
      <c r="C13" s="20">
        <v>0</v>
      </c>
      <c r="D13" s="20">
        <v>4</v>
      </c>
      <c r="E13" s="20">
        <v>16</v>
      </c>
      <c r="F13" s="20">
        <v>27</v>
      </c>
      <c r="G13" s="20">
        <v>15</v>
      </c>
      <c r="H13" s="20">
        <v>7</v>
      </c>
      <c r="I13" s="20">
        <v>14</v>
      </c>
      <c r="J13" s="20">
        <v>2</v>
      </c>
      <c r="K13" s="52">
        <f>SUM(B13:J13)</f>
        <v>85</v>
      </c>
    </row>
    <row r="14" spans="1:13" ht="22.15" hidden="1" customHeight="1" x14ac:dyDescent="0.2">
      <c r="A14" s="8" t="s">
        <v>87</v>
      </c>
      <c r="B14" s="14">
        <v>0</v>
      </c>
      <c r="C14" s="14">
        <v>1285</v>
      </c>
      <c r="D14" s="14">
        <v>4660</v>
      </c>
      <c r="E14" s="14">
        <v>5813</v>
      </c>
      <c r="F14" s="14">
        <v>4165</v>
      </c>
      <c r="G14" s="14">
        <v>1619</v>
      </c>
      <c r="H14" s="14">
        <v>588</v>
      </c>
      <c r="I14" s="14">
        <v>496</v>
      </c>
      <c r="J14" s="14">
        <f>26+1</f>
        <v>27</v>
      </c>
      <c r="K14" s="52">
        <f>SUM(B14:J14)</f>
        <v>18653</v>
      </c>
      <c r="L14" s="12"/>
    </row>
    <row r="15" spans="1:13" s="12" customFormat="1" ht="22.9" hidden="1" customHeight="1" x14ac:dyDescent="0.2">
      <c r="A15" s="8" t="s">
        <v>88</v>
      </c>
      <c r="B15" s="21">
        <v>0</v>
      </c>
      <c r="C15" s="21">
        <v>2</v>
      </c>
      <c r="D15" s="21">
        <v>14</v>
      </c>
      <c r="E15" s="21">
        <v>38</v>
      </c>
      <c r="F15" s="21">
        <v>30</v>
      </c>
      <c r="G15" s="21">
        <v>18</v>
      </c>
      <c r="H15" s="21">
        <v>15</v>
      </c>
      <c r="I15" s="21">
        <v>30</v>
      </c>
      <c r="J15" s="21">
        <v>16</v>
      </c>
      <c r="K15" s="53">
        <f>SUM(B15:J15)</f>
        <v>163</v>
      </c>
    </row>
    <row r="16" spans="1:13" ht="12.6" hidden="1" customHeight="1" x14ac:dyDescent="0.2">
      <c r="A16" s="8" t="s">
        <v>73</v>
      </c>
      <c r="B16" s="21">
        <v>0</v>
      </c>
      <c r="C16" s="21">
        <f t="shared" ref="C16:J16" si="3">C6</f>
        <v>28</v>
      </c>
      <c r="D16" s="21">
        <f t="shared" si="3"/>
        <v>107</v>
      </c>
      <c r="E16" s="21">
        <f t="shared" si="3"/>
        <v>221</v>
      </c>
      <c r="F16" s="21">
        <f t="shared" si="3"/>
        <v>185</v>
      </c>
      <c r="G16" s="21">
        <f t="shared" si="3"/>
        <v>80</v>
      </c>
      <c r="H16" s="21">
        <f t="shared" si="3"/>
        <v>33</v>
      </c>
      <c r="I16" s="21">
        <f t="shared" si="3"/>
        <v>38</v>
      </c>
      <c r="J16" s="21">
        <f t="shared" si="3"/>
        <v>7</v>
      </c>
      <c r="K16" s="53">
        <f>SUM(B16:J16)</f>
        <v>699</v>
      </c>
    </row>
    <row r="17" spans="1:13" ht="12.6" hidden="1" customHeight="1" x14ac:dyDescent="0.2">
      <c r="A17" s="8" t="s">
        <v>74</v>
      </c>
      <c r="B17" s="14">
        <v>0</v>
      </c>
      <c r="C17" s="21">
        <v>5</v>
      </c>
      <c r="D17" s="21">
        <v>18</v>
      </c>
      <c r="E17" s="21">
        <v>18</v>
      </c>
      <c r="F17" s="21">
        <v>17</v>
      </c>
      <c r="G17" s="21">
        <v>10</v>
      </c>
      <c r="H17" s="21">
        <v>2</v>
      </c>
      <c r="I17" s="21">
        <v>5</v>
      </c>
      <c r="J17" s="21">
        <v>1</v>
      </c>
      <c r="K17" s="52">
        <f>SUM(B17:J17)</f>
        <v>76</v>
      </c>
    </row>
    <row r="18" spans="1:13" ht="22.9" hidden="1" customHeight="1" x14ac:dyDescent="0.2">
      <c r="A18" s="8" t="s">
        <v>75</v>
      </c>
      <c r="B18" s="14">
        <v>2</v>
      </c>
      <c r="C18" s="14">
        <v>144</v>
      </c>
      <c r="D18" s="14">
        <v>1436</v>
      </c>
      <c r="E18" s="14">
        <v>8889</v>
      </c>
      <c r="F18" s="14">
        <v>8656</v>
      </c>
      <c r="G18" s="14">
        <v>3890</v>
      </c>
      <c r="H18" s="14">
        <v>1920</v>
      </c>
      <c r="I18" s="14">
        <v>2417</v>
      </c>
      <c r="J18" s="14">
        <v>320</v>
      </c>
      <c r="K18" s="52">
        <f t="shared" ref="K18" si="4">SUM(K12-K13-K14-K15-K16-K17)</f>
        <v>27673.85</v>
      </c>
      <c r="L18" s="12"/>
    </row>
    <row r="19" spans="1:13" ht="34.9" hidden="1" customHeight="1" x14ac:dyDescent="0.2">
      <c r="A19" s="8" t="s">
        <v>76</v>
      </c>
      <c r="B19" s="24">
        <f>SUM((B13*0.75)+(B14*0.75)+(B15*0.5)+(B16*0.5)+ (B17*1.5)+B18)</f>
        <v>2</v>
      </c>
      <c r="C19" s="24">
        <f t="shared" ref="C19:J19" si="5">SUM((C13*0.75)+(C14*0.75)+(C15*0.5)+(C16*0.5)+ (C17*1.5)+C18)</f>
        <v>1130.25</v>
      </c>
      <c r="D19" s="24">
        <f t="shared" si="5"/>
        <v>5021.5</v>
      </c>
      <c r="E19" s="24">
        <f t="shared" si="5"/>
        <v>13417.25</v>
      </c>
      <c r="F19" s="24">
        <f t="shared" si="5"/>
        <v>11933</v>
      </c>
      <c r="G19" s="24">
        <f t="shared" si="5"/>
        <v>5179.5</v>
      </c>
      <c r="H19" s="24">
        <f t="shared" si="5"/>
        <v>2393.25</v>
      </c>
      <c r="I19" s="24">
        <f>SUM((I13*0.75)+(I14*0.75)+(I15*0.5)+(I16*0.5)+(I17*1.5)+I18)</f>
        <v>2841</v>
      </c>
      <c r="J19" s="24">
        <f t="shared" si="5"/>
        <v>354.75</v>
      </c>
      <c r="K19" s="54">
        <f>SUM(B19:J19)</f>
        <v>42272.5</v>
      </c>
    </row>
    <row r="20" spans="1:13" ht="13.15" hidden="1" customHeight="1" x14ac:dyDescent="0.2">
      <c r="A20" s="8" t="s">
        <v>77</v>
      </c>
      <c r="B20" s="26" t="s">
        <v>21</v>
      </c>
      <c r="C20" s="26" t="s">
        <v>22</v>
      </c>
      <c r="D20" s="27" t="s">
        <v>23</v>
      </c>
      <c r="E20" s="27" t="s">
        <v>24</v>
      </c>
      <c r="F20" s="27">
        <v>1</v>
      </c>
      <c r="G20" s="27" t="s">
        <v>25</v>
      </c>
      <c r="H20" s="27" t="s">
        <v>26</v>
      </c>
      <c r="I20" s="27" t="s">
        <v>27</v>
      </c>
      <c r="J20" s="27" t="s">
        <v>28</v>
      </c>
      <c r="K20" s="50"/>
    </row>
    <row r="21" spans="1:13" ht="3.6" hidden="1" customHeight="1" x14ac:dyDescent="0.2">
      <c r="A21" s="8"/>
      <c r="B21" s="26"/>
      <c r="C21" s="26"/>
      <c r="D21" s="27"/>
      <c r="E21" s="27"/>
      <c r="F21" s="27"/>
      <c r="G21" s="27"/>
      <c r="H21" s="27"/>
      <c r="I21" s="27"/>
      <c r="J21" s="27"/>
      <c r="K21" s="50"/>
    </row>
    <row r="22" spans="1:13" ht="17.45" hidden="1" customHeight="1" x14ac:dyDescent="0.25">
      <c r="A22" s="8" t="s">
        <v>78</v>
      </c>
      <c r="B22" s="28">
        <f>ROUND(B19/9*5,2)</f>
        <v>1.1100000000000001</v>
      </c>
      <c r="C22" s="28">
        <f>ROUND(C19/9*6,2)</f>
        <v>753.5</v>
      </c>
      <c r="D22" s="28">
        <f>ROUND(D19/9*7,2)</f>
        <v>3905.61</v>
      </c>
      <c r="E22" s="28">
        <f>ROUND(E19/9*8,2)</f>
        <v>11926.44</v>
      </c>
      <c r="F22" s="28">
        <f>ROUND(F19*F20,2)</f>
        <v>11933</v>
      </c>
      <c r="G22" s="28">
        <f>ROUND(G19/9*11,2)</f>
        <v>6330.5</v>
      </c>
      <c r="H22" s="28">
        <f>ROUND(H19/9*13,2)</f>
        <v>3456.92</v>
      </c>
      <c r="I22" s="28">
        <f>ROUND(I19/9*15,2)</f>
        <v>4735</v>
      </c>
      <c r="J22" s="28">
        <f>ROUND(J19/9*18,2)</f>
        <v>709.5</v>
      </c>
      <c r="K22" s="54">
        <f>SUM(B22:J22)</f>
        <v>43751.58</v>
      </c>
    </row>
    <row r="23" spans="1:13" ht="25.15" hidden="1" customHeight="1" x14ac:dyDescent="0.25">
      <c r="A23" s="8" t="s">
        <v>89</v>
      </c>
      <c r="B23" s="55"/>
      <c r="C23" s="51"/>
      <c r="D23" s="51"/>
      <c r="E23" s="51"/>
      <c r="F23" s="51"/>
      <c r="G23" s="51"/>
      <c r="H23" s="51"/>
      <c r="I23" s="51"/>
      <c r="J23" s="51"/>
      <c r="K23" s="56">
        <v>0</v>
      </c>
      <c r="L23" s="32"/>
    </row>
    <row r="24" spans="1:13" ht="24.6" hidden="1" customHeight="1" x14ac:dyDescent="0.25">
      <c r="A24" s="8" t="s">
        <v>79</v>
      </c>
      <c r="B24" s="55"/>
      <c r="C24" s="51"/>
      <c r="D24" s="51"/>
      <c r="E24" s="51"/>
      <c r="F24" s="51"/>
      <c r="G24" s="51"/>
      <c r="H24" s="51"/>
      <c r="I24" s="51"/>
      <c r="J24" s="51"/>
      <c r="K24" s="54">
        <f>SUM(K22+K23)</f>
        <v>43751.58</v>
      </c>
      <c r="M24" s="33"/>
    </row>
    <row r="25" spans="1:13" ht="15.6" hidden="1" customHeight="1" thickBot="1" x14ac:dyDescent="0.3">
      <c r="A25" s="34" t="s">
        <v>90</v>
      </c>
      <c r="B25" s="57"/>
      <c r="C25" s="58"/>
      <c r="D25" s="58"/>
      <c r="E25" s="58"/>
      <c r="F25" s="58"/>
      <c r="G25" s="58"/>
      <c r="H25" s="58"/>
      <c r="I25" s="58"/>
      <c r="J25" s="58"/>
      <c r="K25" s="59">
        <f>SUM(K24/100*97.5)</f>
        <v>42657.790500000003</v>
      </c>
      <c r="M25" s="33"/>
    </row>
    <row r="26" spans="1:13" ht="15.75" x14ac:dyDescent="0.25">
      <c r="A26" s="1" t="s">
        <v>80</v>
      </c>
      <c r="C26" s="61"/>
      <c r="D26" s="2" t="s">
        <v>32</v>
      </c>
      <c r="E26" s="61"/>
      <c r="F26" s="61"/>
      <c r="G26" s="61"/>
      <c r="H26" s="61"/>
      <c r="K26" s="62"/>
    </row>
    <row r="27" spans="1:13" ht="16.5" thickBot="1" x14ac:dyDescent="0.3">
      <c r="D27" s="1" t="s">
        <v>55</v>
      </c>
      <c r="K27" s="62"/>
    </row>
    <row r="28" spans="1:13" x14ac:dyDescent="0.2">
      <c r="A28" s="4" t="s">
        <v>0</v>
      </c>
      <c r="B28" s="5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3" t="s">
        <v>10</v>
      </c>
    </row>
    <row r="29" spans="1:13" x14ac:dyDescent="0.2">
      <c r="A29" s="8" t="s">
        <v>34</v>
      </c>
      <c r="B29" s="9"/>
      <c r="C29" s="10">
        <v>257</v>
      </c>
      <c r="D29" s="10">
        <v>415</v>
      </c>
      <c r="E29" s="10">
        <v>1405</v>
      </c>
      <c r="F29" s="10">
        <v>260</v>
      </c>
      <c r="G29" s="10">
        <v>133</v>
      </c>
      <c r="H29" s="10">
        <v>56</v>
      </c>
      <c r="I29" s="10">
        <v>8</v>
      </c>
      <c r="J29" s="10">
        <v>1</v>
      </c>
      <c r="K29" s="46">
        <f>SUM(B29:J29)</f>
        <v>2535</v>
      </c>
    </row>
    <row r="30" spans="1:13" x14ac:dyDescent="0.2">
      <c r="A30" s="8" t="s">
        <v>72</v>
      </c>
      <c r="B30" s="9"/>
      <c r="C30" s="77">
        <v>3</v>
      </c>
      <c r="D30" s="77">
        <v>6</v>
      </c>
      <c r="E30" s="77">
        <v>4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48">
        <f>SUM(C30:J30)</f>
        <v>13</v>
      </c>
    </row>
    <row r="31" spans="1:13" x14ac:dyDescent="0.2">
      <c r="A31" s="8" t="s">
        <v>83</v>
      </c>
      <c r="B31" s="9"/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50">
        <f>SUM(B31:J31)</f>
        <v>0</v>
      </c>
    </row>
    <row r="32" spans="1:13" x14ac:dyDescent="0.2">
      <c r="A32" s="8" t="s">
        <v>84</v>
      </c>
      <c r="B32" s="9"/>
      <c r="C32" s="10">
        <f>1+0</f>
        <v>1</v>
      </c>
      <c r="D32" s="10">
        <f>12+1</f>
        <v>13</v>
      </c>
      <c r="E32" s="10">
        <v>15</v>
      </c>
      <c r="F32" s="10">
        <v>7</v>
      </c>
      <c r="G32" s="10">
        <f>2+0</f>
        <v>2</v>
      </c>
      <c r="H32" s="10">
        <f>1+0</f>
        <v>1</v>
      </c>
      <c r="I32" s="10">
        <f>0+0</f>
        <v>0</v>
      </c>
      <c r="J32" s="10">
        <f>0+0</f>
        <v>0</v>
      </c>
      <c r="K32" s="46">
        <f>SUM(C32:J32)</f>
        <v>39</v>
      </c>
    </row>
    <row r="33" spans="1:12" x14ac:dyDescent="0.2">
      <c r="A33" s="8" t="s">
        <v>13</v>
      </c>
      <c r="B33" s="9"/>
      <c r="C33" s="80">
        <v>92.66</v>
      </c>
      <c r="D33" s="80">
        <v>118</v>
      </c>
      <c r="E33" s="80">
        <v>171</v>
      </c>
      <c r="F33" s="80">
        <v>18.59</v>
      </c>
      <c r="G33" s="80">
        <v>8.6199999999999992</v>
      </c>
      <c r="H33" s="80">
        <v>0</v>
      </c>
      <c r="I33" s="80">
        <v>0</v>
      </c>
      <c r="J33" s="80">
        <v>0</v>
      </c>
      <c r="K33" s="46">
        <f>SUM(C33:J33)</f>
        <v>408.86999999999995</v>
      </c>
    </row>
    <row r="34" spans="1:12" ht="22.5" x14ac:dyDescent="0.2">
      <c r="A34" s="8" t="s">
        <v>85</v>
      </c>
      <c r="B34" s="9"/>
      <c r="C34" s="14">
        <f>C29+C30+C31-C32-C33</f>
        <v>166.34</v>
      </c>
      <c r="D34" s="14">
        <f t="shared" ref="D34:J34" si="6">D29+D30+D31-D32-D33</f>
        <v>290</v>
      </c>
      <c r="E34" s="14">
        <f t="shared" si="6"/>
        <v>1223</v>
      </c>
      <c r="F34" s="14">
        <f t="shared" si="6"/>
        <v>234.41</v>
      </c>
      <c r="G34" s="14">
        <f t="shared" si="6"/>
        <v>122.38</v>
      </c>
      <c r="H34" s="14">
        <f t="shared" si="6"/>
        <v>55</v>
      </c>
      <c r="I34" s="14">
        <f t="shared" si="6"/>
        <v>8</v>
      </c>
      <c r="J34" s="14">
        <f t="shared" si="6"/>
        <v>1</v>
      </c>
      <c r="K34" s="46">
        <f>K29+K30+K31-K32-K33</f>
        <v>2100.13</v>
      </c>
    </row>
    <row r="35" spans="1:12" ht="22.5" x14ac:dyDescent="0.2">
      <c r="A35" s="8" t="s">
        <v>86</v>
      </c>
      <c r="B35" s="9"/>
      <c r="C35" s="14">
        <v>1</v>
      </c>
      <c r="D35" s="14">
        <v>0</v>
      </c>
      <c r="E35" s="14">
        <v>11</v>
      </c>
      <c r="F35" s="14">
        <v>1</v>
      </c>
      <c r="G35" s="14">
        <v>0</v>
      </c>
      <c r="H35" s="14">
        <v>1</v>
      </c>
      <c r="I35" s="14">
        <v>0</v>
      </c>
      <c r="J35" s="14">
        <v>1</v>
      </c>
      <c r="K35" s="50">
        <f>SUM(C35:J35)</f>
        <v>15</v>
      </c>
    </row>
    <row r="36" spans="1:12" ht="33.75" x14ac:dyDescent="0.2">
      <c r="A36" s="8" t="s">
        <v>15</v>
      </c>
      <c r="B36" s="16">
        <f t="shared" ref="B36:I36" si="7">C35</f>
        <v>1</v>
      </c>
      <c r="C36" s="16">
        <f t="shared" si="7"/>
        <v>0</v>
      </c>
      <c r="D36" s="16">
        <f t="shared" si="7"/>
        <v>11</v>
      </c>
      <c r="E36" s="16">
        <f t="shared" si="7"/>
        <v>1</v>
      </c>
      <c r="F36" s="16">
        <f t="shared" si="7"/>
        <v>0</v>
      </c>
      <c r="G36" s="16">
        <f t="shared" si="7"/>
        <v>1</v>
      </c>
      <c r="H36" s="16">
        <f t="shared" si="7"/>
        <v>0</v>
      </c>
      <c r="I36" s="16">
        <f t="shared" si="7"/>
        <v>1</v>
      </c>
      <c r="J36" s="9"/>
      <c r="K36" s="50">
        <f>SUM(B36:I36)</f>
        <v>15</v>
      </c>
    </row>
    <row r="37" spans="1:12" ht="22.5" x14ac:dyDescent="0.2">
      <c r="A37" s="8" t="s">
        <v>16</v>
      </c>
      <c r="B37" s="18">
        <f t="shared" ref="B37:K37" si="8">SUM(B34-B35+B36)</f>
        <v>1</v>
      </c>
      <c r="C37" s="18">
        <f t="shared" si="8"/>
        <v>165.34</v>
      </c>
      <c r="D37" s="18">
        <f t="shared" si="8"/>
        <v>301</v>
      </c>
      <c r="E37" s="18">
        <f t="shared" si="8"/>
        <v>1213</v>
      </c>
      <c r="F37" s="18">
        <f t="shared" si="8"/>
        <v>233.41</v>
      </c>
      <c r="G37" s="18">
        <f t="shared" si="8"/>
        <v>123.38</v>
      </c>
      <c r="H37" s="18">
        <f t="shared" si="8"/>
        <v>54</v>
      </c>
      <c r="I37" s="18">
        <f t="shared" si="8"/>
        <v>9</v>
      </c>
      <c r="J37" s="18">
        <f t="shared" si="8"/>
        <v>0</v>
      </c>
      <c r="K37" s="52">
        <f t="shared" si="8"/>
        <v>2100.13</v>
      </c>
    </row>
    <row r="38" spans="1:12" ht="22.5" x14ac:dyDescent="0.2">
      <c r="A38" s="8" t="s">
        <v>91</v>
      </c>
      <c r="B38" s="14">
        <v>0</v>
      </c>
      <c r="C38" s="20">
        <v>0</v>
      </c>
      <c r="D38" s="20">
        <v>1</v>
      </c>
      <c r="E38" s="20">
        <v>2</v>
      </c>
      <c r="F38" s="20">
        <v>0</v>
      </c>
      <c r="G38" s="20">
        <v>1</v>
      </c>
      <c r="H38" s="20">
        <v>0</v>
      </c>
      <c r="I38" s="20">
        <v>0</v>
      </c>
      <c r="J38" s="20">
        <v>0</v>
      </c>
      <c r="K38" s="52">
        <f>SUM(B38:J38)</f>
        <v>4</v>
      </c>
      <c r="L38" s="12"/>
    </row>
    <row r="39" spans="1:12" ht="22.5" x14ac:dyDescent="0.2">
      <c r="A39" s="8" t="s">
        <v>87</v>
      </c>
      <c r="B39" s="14">
        <v>0</v>
      </c>
      <c r="C39" s="14">
        <v>131</v>
      </c>
      <c r="D39" s="14">
        <v>233</v>
      </c>
      <c r="E39" s="14">
        <v>392</v>
      </c>
      <c r="F39" s="14">
        <v>67</v>
      </c>
      <c r="G39" s="14">
        <v>33</v>
      </c>
      <c r="H39" s="14">
        <v>10</v>
      </c>
      <c r="I39" s="14">
        <v>2</v>
      </c>
      <c r="J39" s="14">
        <v>0</v>
      </c>
      <c r="K39" s="52">
        <f>SUM(B39:J39)</f>
        <v>868</v>
      </c>
      <c r="L39" s="12"/>
    </row>
    <row r="40" spans="1:12" ht="22.5" x14ac:dyDescent="0.2">
      <c r="A40" s="8" t="s">
        <v>88</v>
      </c>
      <c r="B40" s="21">
        <v>0</v>
      </c>
      <c r="C40" s="21">
        <v>0</v>
      </c>
      <c r="D40" s="21">
        <v>3</v>
      </c>
      <c r="E40" s="21">
        <v>15</v>
      </c>
      <c r="F40" s="21">
        <v>0</v>
      </c>
      <c r="G40" s="21">
        <v>0</v>
      </c>
      <c r="H40" s="21">
        <v>1</v>
      </c>
      <c r="I40" s="21">
        <v>1</v>
      </c>
      <c r="J40" s="21">
        <v>0</v>
      </c>
      <c r="K40" s="53">
        <f>SUM(B40:J40)</f>
        <v>20</v>
      </c>
      <c r="L40" s="12"/>
    </row>
    <row r="41" spans="1:12" x14ac:dyDescent="0.2">
      <c r="A41" s="8" t="s">
        <v>73</v>
      </c>
      <c r="B41" s="21">
        <v>0</v>
      </c>
      <c r="C41" s="21">
        <f t="shared" ref="C41:J41" si="9">C31</f>
        <v>0</v>
      </c>
      <c r="D41" s="21">
        <f t="shared" si="9"/>
        <v>0</v>
      </c>
      <c r="E41" s="21">
        <f t="shared" si="9"/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53">
        <f>SUM(B41:J41)</f>
        <v>0</v>
      </c>
    </row>
    <row r="42" spans="1:12" x14ac:dyDescent="0.2">
      <c r="A42" s="8" t="s">
        <v>74</v>
      </c>
      <c r="B42" s="14">
        <v>0</v>
      </c>
      <c r="C42" s="21">
        <v>2</v>
      </c>
      <c r="D42" s="21">
        <v>1</v>
      </c>
      <c r="E42" s="21">
        <v>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52">
        <f>SUM(B42:J42)</f>
        <v>6</v>
      </c>
    </row>
    <row r="43" spans="1:12" ht="22.5" x14ac:dyDescent="0.2">
      <c r="A43" s="8" t="s">
        <v>75</v>
      </c>
      <c r="B43" s="14">
        <f>SUM(B37-B38-B39-B40-B41-B42)</f>
        <v>1</v>
      </c>
      <c r="C43" s="14">
        <v>32</v>
      </c>
      <c r="D43" s="14">
        <v>63</v>
      </c>
      <c r="E43" s="14">
        <f t="shared" ref="E43:K43" si="10">SUM(E37-E38-E39-E40-E41-E42)</f>
        <v>801</v>
      </c>
      <c r="F43" s="14">
        <v>166</v>
      </c>
      <c r="G43" s="14">
        <v>89</v>
      </c>
      <c r="H43" s="14">
        <f t="shared" si="10"/>
        <v>43</v>
      </c>
      <c r="I43" s="14">
        <f t="shared" si="10"/>
        <v>6</v>
      </c>
      <c r="J43" s="14">
        <f t="shared" si="10"/>
        <v>0</v>
      </c>
      <c r="K43" s="52">
        <f t="shared" si="10"/>
        <v>1202.1300000000001</v>
      </c>
    </row>
    <row r="44" spans="1:12" ht="33.75" x14ac:dyDescent="0.2">
      <c r="A44" s="8" t="s">
        <v>76</v>
      </c>
      <c r="B44" s="24">
        <f>SUM((B38*0.75)+(B39*0.75)+(B40*0.5)+(B41*0.5)+ (B42*1.5)+B43)</f>
        <v>1</v>
      </c>
      <c r="C44" s="24">
        <f t="shared" ref="C44:J44" si="11">SUM((C38*0.75)+(C39*0.75)+(C40*0.5)+(C41*0.5)+ (C42*1.5)+C43)</f>
        <v>133.25</v>
      </c>
      <c r="D44" s="24">
        <f t="shared" si="11"/>
        <v>241.5</v>
      </c>
      <c r="E44" s="24">
        <f t="shared" si="11"/>
        <v>1108.5</v>
      </c>
      <c r="F44" s="24">
        <f t="shared" si="11"/>
        <v>216.25</v>
      </c>
      <c r="G44" s="24">
        <f t="shared" si="11"/>
        <v>114.5</v>
      </c>
      <c r="H44" s="24">
        <f t="shared" si="11"/>
        <v>51</v>
      </c>
      <c r="I44" s="24">
        <f t="shared" si="11"/>
        <v>8</v>
      </c>
      <c r="J44" s="24">
        <f t="shared" si="11"/>
        <v>0</v>
      </c>
      <c r="K44" s="56">
        <f>SUM(B44:J44)</f>
        <v>1874</v>
      </c>
    </row>
    <row r="45" spans="1:12" x14ac:dyDescent="0.2">
      <c r="A45" s="8" t="s">
        <v>77</v>
      </c>
      <c r="B45" s="26" t="s">
        <v>21</v>
      </c>
      <c r="C45" s="26" t="s">
        <v>22</v>
      </c>
      <c r="D45" s="27" t="s">
        <v>23</v>
      </c>
      <c r="E45" s="27" t="s">
        <v>24</v>
      </c>
      <c r="F45" s="27">
        <v>1</v>
      </c>
      <c r="G45" s="27" t="s">
        <v>25</v>
      </c>
      <c r="H45" s="27" t="s">
        <v>26</v>
      </c>
      <c r="I45" s="27" t="s">
        <v>27</v>
      </c>
      <c r="J45" s="27" t="s">
        <v>28</v>
      </c>
      <c r="K45" s="50"/>
    </row>
    <row r="46" spans="1:12" x14ac:dyDescent="0.2">
      <c r="A46" s="8"/>
      <c r="B46" s="26"/>
      <c r="C46" s="26"/>
      <c r="D46" s="27"/>
      <c r="E46" s="27"/>
      <c r="F46" s="27"/>
      <c r="G46" s="27"/>
      <c r="H46" s="27"/>
      <c r="I46" s="27"/>
      <c r="J46" s="27"/>
      <c r="K46" s="50"/>
    </row>
    <row r="47" spans="1:12" ht="15" x14ac:dyDescent="0.25">
      <c r="A47" s="8" t="s">
        <v>78</v>
      </c>
      <c r="B47" s="28">
        <f>ROUND(B44/9*5,2)</f>
        <v>0.56000000000000005</v>
      </c>
      <c r="C47" s="28">
        <f>ROUND(C44/9*6,2)</f>
        <v>88.83</v>
      </c>
      <c r="D47" s="28">
        <f>ROUND(D44/9*7,2)</f>
        <v>187.83</v>
      </c>
      <c r="E47" s="28">
        <f>ROUND(E44/9*8,2)</f>
        <v>985.33</v>
      </c>
      <c r="F47" s="28">
        <f>ROUND(F44*F45,2)</f>
        <v>216.25</v>
      </c>
      <c r="G47" s="28">
        <f>ROUND(G44/9*11,2)</f>
        <v>139.94</v>
      </c>
      <c r="H47" s="28">
        <f>ROUND(H44/9*13,2)</f>
        <v>73.67</v>
      </c>
      <c r="I47" s="28">
        <f>ROUND(I44/9*15,2)</f>
        <v>13.33</v>
      </c>
      <c r="J47" s="28">
        <f>ROUND(J44/9*18,2)</f>
        <v>0</v>
      </c>
      <c r="K47" s="54">
        <f>SUM(B47:J47)</f>
        <v>1705.7400000000002</v>
      </c>
      <c r="L47" s="32"/>
    </row>
    <row r="48" spans="1:12" ht="23.25" x14ac:dyDescent="0.25">
      <c r="A48" s="8" t="s">
        <v>89</v>
      </c>
      <c r="B48" s="55"/>
      <c r="C48" s="51"/>
      <c r="D48" s="51"/>
      <c r="E48" s="51"/>
      <c r="F48" s="51"/>
      <c r="G48" s="51"/>
      <c r="H48" s="51"/>
      <c r="I48" s="51"/>
      <c r="J48" s="51"/>
      <c r="K48" s="56">
        <v>0</v>
      </c>
      <c r="L48" s="37"/>
    </row>
    <row r="49" spans="1:12" ht="23.25" x14ac:dyDescent="0.25">
      <c r="A49" s="8" t="s">
        <v>79</v>
      </c>
      <c r="B49" s="55"/>
      <c r="C49" s="51"/>
      <c r="D49" s="51"/>
      <c r="E49" s="51"/>
      <c r="F49" s="51"/>
      <c r="G49" s="51"/>
      <c r="H49" s="51"/>
      <c r="I49" s="51"/>
      <c r="J49" s="51"/>
      <c r="K49" s="54">
        <f>SUM(K47+K48)</f>
        <v>1705.7400000000002</v>
      </c>
    </row>
    <row r="50" spans="1:12" ht="16.5" thickBot="1" x14ac:dyDescent="0.3">
      <c r="A50" s="34" t="s">
        <v>90</v>
      </c>
      <c r="B50" s="57"/>
      <c r="C50" s="58"/>
      <c r="D50" s="58"/>
      <c r="E50" s="58"/>
      <c r="F50" s="58"/>
      <c r="G50" s="58"/>
      <c r="H50" s="58"/>
      <c r="I50" s="58"/>
      <c r="J50" s="58"/>
      <c r="K50" s="59">
        <f>SUM(K49/100*97.5)</f>
        <v>1663.0965000000001</v>
      </c>
    </row>
    <row r="51" spans="1:12" ht="15.75" x14ac:dyDescent="0.25">
      <c r="A51" s="1" t="s">
        <v>80</v>
      </c>
      <c r="D51" s="2" t="s">
        <v>32</v>
      </c>
      <c r="K51" s="62"/>
    </row>
    <row r="52" spans="1:12" ht="16.5" thickBot="1" x14ac:dyDescent="0.3">
      <c r="D52" s="1" t="s">
        <v>56</v>
      </c>
      <c r="K52" s="62"/>
    </row>
    <row r="53" spans="1:12" x14ac:dyDescent="0.2">
      <c r="A53" s="4" t="s">
        <v>0</v>
      </c>
      <c r="B53" s="5" t="s">
        <v>1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6</v>
      </c>
      <c r="H53" s="6" t="s">
        <v>7</v>
      </c>
      <c r="I53" s="6" t="s">
        <v>8</v>
      </c>
      <c r="J53" s="6" t="s">
        <v>9</v>
      </c>
      <c r="K53" s="63" t="s">
        <v>10</v>
      </c>
    </row>
    <row r="54" spans="1:12" x14ac:dyDescent="0.2">
      <c r="A54" s="8" t="s">
        <v>34</v>
      </c>
      <c r="B54" s="9"/>
      <c r="C54" s="10">
        <v>84</v>
      </c>
      <c r="D54" s="10">
        <v>56</v>
      </c>
      <c r="E54" s="10">
        <v>297</v>
      </c>
      <c r="F54" s="10">
        <v>780</v>
      </c>
      <c r="G54" s="10">
        <v>153</v>
      </c>
      <c r="H54" s="10">
        <v>25</v>
      </c>
      <c r="I54" s="10">
        <v>71</v>
      </c>
      <c r="J54" s="10">
        <v>3</v>
      </c>
      <c r="K54" s="46">
        <f>SUM(B54:J54)</f>
        <v>1469</v>
      </c>
    </row>
    <row r="55" spans="1:12" x14ac:dyDescent="0.2">
      <c r="A55" s="8" t="s">
        <v>72</v>
      </c>
      <c r="B55" s="9"/>
      <c r="C55" s="77"/>
      <c r="D55" s="77"/>
      <c r="E55" s="77"/>
      <c r="F55" s="77"/>
      <c r="G55" s="77"/>
      <c r="H55" s="77"/>
      <c r="I55" s="77"/>
      <c r="J55" s="77"/>
      <c r="K55" s="48">
        <f>SUM(C55:J55)</f>
        <v>0</v>
      </c>
    </row>
    <row r="56" spans="1:12" x14ac:dyDescent="0.2">
      <c r="A56" s="8" t="s">
        <v>83</v>
      </c>
      <c r="B56" s="9"/>
      <c r="C56" s="78"/>
      <c r="D56" s="78"/>
      <c r="E56" s="78"/>
      <c r="F56" s="78"/>
      <c r="G56" s="78"/>
      <c r="H56" s="78"/>
      <c r="I56" s="78"/>
      <c r="J56" s="78"/>
      <c r="K56" s="50">
        <f>SUM(B56:J56)</f>
        <v>0</v>
      </c>
    </row>
    <row r="57" spans="1:12" x14ac:dyDescent="0.2">
      <c r="A57" s="8" t="s">
        <v>84</v>
      </c>
      <c r="B57" s="9"/>
      <c r="C57" s="10">
        <f>3+0</f>
        <v>3</v>
      </c>
      <c r="D57" s="10">
        <f>1+0</f>
        <v>1</v>
      </c>
      <c r="E57" s="10">
        <v>4</v>
      </c>
      <c r="F57" s="10">
        <v>12</v>
      </c>
      <c r="G57" s="10">
        <v>1</v>
      </c>
      <c r="H57" s="10">
        <v>0</v>
      </c>
      <c r="I57" s="10">
        <v>0</v>
      </c>
      <c r="J57" s="10">
        <v>0</v>
      </c>
      <c r="K57" s="46">
        <f>SUM(C57:J57)</f>
        <v>21</v>
      </c>
    </row>
    <row r="58" spans="1:12" x14ac:dyDescent="0.2">
      <c r="A58" s="8" t="s">
        <v>13</v>
      </c>
      <c r="B58" s="9"/>
      <c r="C58" s="80">
        <v>12</v>
      </c>
      <c r="D58" s="80">
        <v>7</v>
      </c>
      <c r="E58" s="80">
        <v>37</v>
      </c>
      <c r="F58" s="80">
        <v>54</v>
      </c>
      <c r="G58" s="80">
        <v>5</v>
      </c>
      <c r="H58" s="80">
        <v>0</v>
      </c>
      <c r="I58" s="80">
        <v>0</v>
      </c>
      <c r="J58" s="80">
        <v>0</v>
      </c>
      <c r="K58" s="46">
        <f>SUM(C58:J58)</f>
        <v>115</v>
      </c>
      <c r="L58" s="12"/>
    </row>
    <row r="59" spans="1:12" ht="22.5" x14ac:dyDescent="0.2">
      <c r="A59" s="8" t="s">
        <v>85</v>
      </c>
      <c r="B59" s="9"/>
      <c r="C59" s="14">
        <f>C54+C55+C56-C57-C58</f>
        <v>69</v>
      </c>
      <c r="D59" s="14">
        <f t="shared" ref="D59:J59" si="12">D54+D55+D56-D57-D58</f>
        <v>48</v>
      </c>
      <c r="E59" s="14">
        <f t="shared" si="12"/>
        <v>256</v>
      </c>
      <c r="F59" s="14">
        <f t="shared" si="12"/>
        <v>714</v>
      </c>
      <c r="G59" s="14">
        <f t="shared" si="12"/>
        <v>147</v>
      </c>
      <c r="H59" s="14">
        <f t="shared" si="12"/>
        <v>25</v>
      </c>
      <c r="I59" s="14">
        <f t="shared" si="12"/>
        <v>71</v>
      </c>
      <c r="J59" s="14">
        <f t="shared" si="12"/>
        <v>3</v>
      </c>
      <c r="K59" s="46">
        <f>K54+K55+K56-K57-K58</f>
        <v>1333</v>
      </c>
    </row>
    <row r="60" spans="1:12" ht="22.5" x14ac:dyDescent="0.2">
      <c r="A60" s="8" t="s">
        <v>86</v>
      </c>
      <c r="B60" s="9"/>
      <c r="C60" s="14">
        <v>1</v>
      </c>
      <c r="D60" s="14">
        <v>0</v>
      </c>
      <c r="E60" s="14">
        <v>2</v>
      </c>
      <c r="F60" s="14">
        <v>6</v>
      </c>
      <c r="G60" s="14">
        <v>0</v>
      </c>
      <c r="H60" s="14">
        <v>0</v>
      </c>
      <c r="I60" s="14">
        <v>2</v>
      </c>
      <c r="J60" s="14">
        <v>0</v>
      </c>
      <c r="K60" s="50">
        <f>SUM(C60:J60)</f>
        <v>11</v>
      </c>
    </row>
    <row r="61" spans="1:12" ht="33.75" x14ac:dyDescent="0.2">
      <c r="A61" s="8" t="s">
        <v>15</v>
      </c>
      <c r="B61" s="16">
        <f t="shared" ref="B61:I61" si="13">C60</f>
        <v>1</v>
      </c>
      <c r="C61" s="16">
        <f t="shared" si="13"/>
        <v>0</v>
      </c>
      <c r="D61" s="16">
        <f t="shared" si="13"/>
        <v>2</v>
      </c>
      <c r="E61" s="16">
        <f t="shared" si="13"/>
        <v>6</v>
      </c>
      <c r="F61" s="16">
        <f t="shared" si="13"/>
        <v>0</v>
      </c>
      <c r="G61" s="16">
        <f t="shared" si="13"/>
        <v>0</v>
      </c>
      <c r="H61" s="16">
        <f t="shared" si="13"/>
        <v>2</v>
      </c>
      <c r="I61" s="16">
        <f t="shared" si="13"/>
        <v>0</v>
      </c>
      <c r="J61" s="9"/>
      <c r="K61" s="50">
        <f>SUM(B61:I61)</f>
        <v>11</v>
      </c>
    </row>
    <row r="62" spans="1:12" ht="22.5" x14ac:dyDescent="0.2">
      <c r="A62" s="8" t="s">
        <v>16</v>
      </c>
      <c r="B62" s="18">
        <f t="shared" ref="B62:K62" si="14">SUM(B59-B60+B61)</f>
        <v>1</v>
      </c>
      <c r="C62" s="18">
        <f t="shared" si="14"/>
        <v>68</v>
      </c>
      <c r="D62" s="18">
        <f t="shared" si="14"/>
        <v>50</v>
      </c>
      <c r="E62" s="18">
        <f t="shared" si="14"/>
        <v>260</v>
      </c>
      <c r="F62" s="18">
        <f t="shared" si="14"/>
        <v>708</v>
      </c>
      <c r="G62" s="18">
        <f t="shared" si="14"/>
        <v>147</v>
      </c>
      <c r="H62" s="18">
        <f t="shared" si="14"/>
        <v>27</v>
      </c>
      <c r="I62" s="18">
        <f t="shared" si="14"/>
        <v>69</v>
      </c>
      <c r="J62" s="18">
        <f t="shared" si="14"/>
        <v>3</v>
      </c>
      <c r="K62" s="52">
        <f t="shared" si="14"/>
        <v>1333</v>
      </c>
    </row>
    <row r="63" spans="1:12" ht="22.5" x14ac:dyDescent="0.2">
      <c r="A63" s="8" t="s">
        <v>91</v>
      </c>
      <c r="B63" s="14">
        <v>0</v>
      </c>
      <c r="C63" s="20">
        <v>0</v>
      </c>
      <c r="D63" s="20">
        <v>0</v>
      </c>
      <c r="E63" s="20">
        <v>0</v>
      </c>
      <c r="F63" s="20">
        <v>0</v>
      </c>
      <c r="G63" s="20">
        <v>1</v>
      </c>
      <c r="H63" s="20">
        <v>0</v>
      </c>
      <c r="I63" s="20">
        <v>0</v>
      </c>
      <c r="J63" s="20">
        <v>0</v>
      </c>
      <c r="K63" s="52">
        <f>SUM(B63:J63)</f>
        <v>1</v>
      </c>
    </row>
    <row r="64" spans="1:12" ht="22.5" x14ac:dyDescent="0.2">
      <c r="A64" s="8" t="s">
        <v>87</v>
      </c>
      <c r="B64" s="14">
        <v>0</v>
      </c>
      <c r="C64" s="14">
        <f>42+1</f>
        <v>43</v>
      </c>
      <c r="D64" s="14">
        <f>23+2</f>
        <v>25</v>
      </c>
      <c r="E64" s="14">
        <v>112</v>
      </c>
      <c r="F64" s="14">
        <v>223</v>
      </c>
      <c r="G64" s="14">
        <v>38</v>
      </c>
      <c r="H64" s="14">
        <f>6+1</f>
        <v>7</v>
      </c>
      <c r="I64" s="14">
        <f>14+1</f>
        <v>15</v>
      </c>
      <c r="J64" s="14">
        <f>0+0</f>
        <v>0</v>
      </c>
      <c r="K64" s="52">
        <f>SUM(B64:J64)</f>
        <v>463</v>
      </c>
    </row>
    <row r="65" spans="1:11" ht="22.5" x14ac:dyDescent="0.2">
      <c r="A65" s="8" t="s">
        <v>88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53">
        <f>SUM(B65:J65)</f>
        <v>0</v>
      </c>
    </row>
    <row r="66" spans="1:11" x14ac:dyDescent="0.2">
      <c r="A66" s="8" t="s">
        <v>73</v>
      </c>
      <c r="B66" s="21">
        <v>0</v>
      </c>
      <c r="C66" s="21">
        <f t="shared" ref="C66:J66" si="15">C56</f>
        <v>0</v>
      </c>
      <c r="D66" s="21">
        <f t="shared" si="15"/>
        <v>0</v>
      </c>
      <c r="E66" s="21">
        <f t="shared" si="15"/>
        <v>0</v>
      </c>
      <c r="F66" s="21">
        <f t="shared" si="15"/>
        <v>0</v>
      </c>
      <c r="G66" s="21">
        <f t="shared" si="15"/>
        <v>0</v>
      </c>
      <c r="H66" s="21">
        <f t="shared" si="15"/>
        <v>0</v>
      </c>
      <c r="I66" s="21">
        <f t="shared" si="15"/>
        <v>0</v>
      </c>
      <c r="J66" s="21">
        <f t="shared" si="15"/>
        <v>0</v>
      </c>
      <c r="K66" s="53">
        <f>SUM(B66:J66)</f>
        <v>0</v>
      </c>
    </row>
    <row r="67" spans="1:11" x14ac:dyDescent="0.2">
      <c r="A67" s="8" t="s">
        <v>74</v>
      </c>
      <c r="B67" s="14">
        <v>0</v>
      </c>
      <c r="C67" s="21">
        <v>0</v>
      </c>
      <c r="D67" s="21">
        <v>4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52">
        <f>SUM(B67:J67)</f>
        <v>5</v>
      </c>
    </row>
    <row r="68" spans="1:11" ht="22.5" x14ac:dyDescent="0.2">
      <c r="A68" s="8" t="s">
        <v>75</v>
      </c>
      <c r="B68" s="14">
        <f>SUM(B62-B63-B64-B65-B66-B67)</f>
        <v>1</v>
      </c>
      <c r="C68" s="14">
        <f t="shared" ref="C68:K68" si="16">SUM(C62-C63-C64-C65-C66-C67)</f>
        <v>25</v>
      </c>
      <c r="D68" s="14">
        <f t="shared" si="16"/>
        <v>21</v>
      </c>
      <c r="E68" s="14">
        <f t="shared" si="16"/>
        <v>147</v>
      </c>
      <c r="F68" s="14">
        <f t="shared" si="16"/>
        <v>485</v>
      </c>
      <c r="G68" s="14">
        <f t="shared" si="16"/>
        <v>108</v>
      </c>
      <c r="H68" s="14">
        <f t="shared" si="16"/>
        <v>20</v>
      </c>
      <c r="I68" s="14">
        <f t="shared" si="16"/>
        <v>54</v>
      </c>
      <c r="J68" s="14">
        <f t="shared" si="16"/>
        <v>3</v>
      </c>
      <c r="K68" s="52">
        <f t="shared" si="16"/>
        <v>864</v>
      </c>
    </row>
    <row r="69" spans="1:11" ht="33.75" x14ac:dyDescent="0.2">
      <c r="A69" s="8" t="s">
        <v>76</v>
      </c>
      <c r="B69" s="24">
        <f>SUM((B63*0.75)+(B64*0.75)+(B65*0.5)+(B66*0.5)+ (B67*1.5)+B68)</f>
        <v>1</v>
      </c>
      <c r="C69" s="24">
        <f t="shared" ref="C69:J69" si="17">SUM((C63*0.75)+(C64*0.75)+(C65*0.5)+(C66*0.5)+ (C67*1.5)+C68)</f>
        <v>57.25</v>
      </c>
      <c r="D69" s="24">
        <f t="shared" si="17"/>
        <v>45.75</v>
      </c>
      <c r="E69" s="24">
        <f t="shared" si="17"/>
        <v>232.5</v>
      </c>
      <c r="F69" s="24">
        <f t="shared" si="17"/>
        <v>652.25</v>
      </c>
      <c r="G69" s="24">
        <f t="shared" si="17"/>
        <v>137.25</v>
      </c>
      <c r="H69" s="24">
        <f t="shared" si="17"/>
        <v>25.25</v>
      </c>
      <c r="I69" s="24">
        <f t="shared" si="17"/>
        <v>65.25</v>
      </c>
      <c r="J69" s="24">
        <f t="shared" si="17"/>
        <v>3</v>
      </c>
      <c r="K69" s="54">
        <f>SUM(B69:J69)</f>
        <v>1219.5</v>
      </c>
    </row>
    <row r="70" spans="1:11" x14ac:dyDescent="0.2">
      <c r="A70" s="8" t="s">
        <v>77</v>
      </c>
      <c r="B70" s="26" t="s">
        <v>21</v>
      </c>
      <c r="C70" s="26" t="s">
        <v>22</v>
      </c>
      <c r="D70" s="27" t="s">
        <v>23</v>
      </c>
      <c r="E70" s="27" t="s">
        <v>24</v>
      </c>
      <c r="F70" s="27">
        <v>1</v>
      </c>
      <c r="G70" s="27" t="s">
        <v>25</v>
      </c>
      <c r="H70" s="27" t="s">
        <v>26</v>
      </c>
      <c r="I70" s="27" t="s">
        <v>27</v>
      </c>
      <c r="J70" s="27" t="s">
        <v>28</v>
      </c>
      <c r="K70" s="50"/>
    </row>
    <row r="71" spans="1:11" x14ac:dyDescent="0.2">
      <c r="A71" s="8"/>
      <c r="B71" s="26"/>
      <c r="C71" s="26"/>
      <c r="D71" s="27"/>
      <c r="E71" s="27"/>
      <c r="F71" s="27"/>
      <c r="G71" s="27"/>
      <c r="H71" s="27"/>
      <c r="I71" s="27"/>
      <c r="J71" s="27"/>
      <c r="K71" s="50"/>
    </row>
    <row r="72" spans="1:11" ht="15" x14ac:dyDescent="0.25">
      <c r="A72" s="8" t="s">
        <v>78</v>
      </c>
      <c r="B72" s="28">
        <f>ROUND(B69/9*5,2)</f>
        <v>0.56000000000000005</v>
      </c>
      <c r="C72" s="28">
        <f>ROUND(C69/9*6,2)</f>
        <v>38.17</v>
      </c>
      <c r="D72" s="28">
        <f>ROUND(D69/9*7,2)</f>
        <v>35.58</v>
      </c>
      <c r="E72" s="28">
        <f>ROUND(E69/9*8,2)</f>
        <v>206.67</v>
      </c>
      <c r="F72" s="28">
        <f>ROUND(F69*F70,2)</f>
        <v>652.25</v>
      </c>
      <c r="G72" s="28">
        <f>ROUND(G69/9*11,2)</f>
        <v>167.75</v>
      </c>
      <c r="H72" s="28">
        <f>ROUND(H69/9*13,2)</f>
        <v>36.47</v>
      </c>
      <c r="I72" s="28">
        <f>ROUND(I69/9*15,2)</f>
        <v>108.75</v>
      </c>
      <c r="J72" s="28">
        <f>ROUND(J69/9*18,2)</f>
        <v>6</v>
      </c>
      <c r="K72" s="54">
        <f>SUM(B72:J72)</f>
        <v>1252.2</v>
      </c>
    </row>
    <row r="73" spans="1:11" ht="23.25" x14ac:dyDescent="0.25">
      <c r="A73" s="8" t="s">
        <v>89</v>
      </c>
      <c r="B73" s="55"/>
      <c r="C73" s="51"/>
      <c r="D73" s="51"/>
      <c r="E73" s="51"/>
      <c r="F73" s="51"/>
      <c r="G73" s="51"/>
      <c r="H73" s="51"/>
      <c r="I73" s="51"/>
      <c r="J73" s="51"/>
      <c r="K73" s="56">
        <v>0</v>
      </c>
    </row>
    <row r="74" spans="1:11" ht="23.25" x14ac:dyDescent="0.25">
      <c r="A74" s="8" t="s">
        <v>79</v>
      </c>
      <c r="B74" s="55"/>
      <c r="C74" s="51"/>
      <c r="D74" s="51"/>
      <c r="E74" s="51"/>
      <c r="F74" s="51"/>
      <c r="G74" s="51"/>
      <c r="H74" s="51"/>
      <c r="I74" s="51"/>
      <c r="J74" s="51"/>
      <c r="K74" s="54">
        <f>SUM(K72+K73)</f>
        <v>1252.2</v>
      </c>
    </row>
    <row r="75" spans="1:11" ht="16.5" thickBot="1" x14ac:dyDescent="0.3">
      <c r="A75" s="34" t="s">
        <v>90</v>
      </c>
      <c r="B75" s="57"/>
      <c r="C75" s="58"/>
      <c r="D75" s="58"/>
      <c r="E75" s="58"/>
      <c r="F75" s="58"/>
      <c r="G75" s="58"/>
      <c r="H75" s="58"/>
      <c r="I75" s="58"/>
      <c r="J75" s="58"/>
      <c r="K75" s="59">
        <f>K74/100*97.5</f>
        <v>1220.895</v>
      </c>
    </row>
    <row r="76" spans="1:11" ht="15.75" x14ac:dyDescent="0.25">
      <c r="A76" s="1" t="s">
        <v>80</v>
      </c>
      <c r="D76" s="2" t="s">
        <v>32</v>
      </c>
      <c r="K76" s="62"/>
    </row>
    <row r="77" spans="1:11" ht="16.5" thickBot="1" x14ac:dyDescent="0.3">
      <c r="C77" s="1" t="s">
        <v>81</v>
      </c>
      <c r="K77" s="62"/>
    </row>
    <row r="78" spans="1:11" x14ac:dyDescent="0.2">
      <c r="A78" s="4" t="s">
        <v>0</v>
      </c>
      <c r="B78" s="64" t="s">
        <v>1</v>
      </c>
      <c r="C78" s="65" t="s">
        <v>2</v>
      </c>
      <c r="D78" s="65" t="s">
        <v>3</v>
      </c>
      <c r="E78" s="65" t="s">
        <v>4</v>
      </c>
      <c r="F78" s="65" t="s">
        <v>5</v>
      </c>
      <c r="G78" s="65" t="s">
        <v>6</v>
      </c>
      <c r="H78" s="65" t="s">
        <v>7</v>
      </c>
      <c r="I78" s="65" t="s">
        <v>8</v>
      </c>
      <c r="J78" s="65" t="s">
        <v>9</v>
      </c>
      <c r="K78" s="66" t="s">
        <v>10</v>
      </c>
    </row>
    <row r="79" spans="1:11" x14ac:dyDescent="0.2">
      <c r="A79" s="8" t="s">
        <v>34</v>
      </c>
      <c r="B79" s="9"/>
      <c r="C79" s="10">
        <v>15</v>
      </c>
      <c r="D79" s="10">
        <v>281</v>
      </c>
      <c r="E79" s="10">
        <v>274</v>
      </c>
      <c r="F79" s="10">
        <v>990</v>
      </c>
      <c r="G79" s="10">
        <v>103</v>
      </c>
      <c r="H79" s="10">
        <v>90</v>
      </c>
      <c r="I79" s="10">
        <v>21</v>
      </c>
      <c r="J79" s="10">
        <v>0</v>
      </c>
      <c r="K79" s="46">
        <f>SUM(B79:J79)</f>
        <v>1774</v>
      </c>
    </row>
    <row r="80" spans="1:11" x14ac:dyDescent="0.2">
      <c r="A80" s="8" t="s">
        <v>72</v>
      </c>
      <c r="B80" s="9"/>
      <c r="C80" s="77"/>
      <c r="D80" s="77"/>
      <c r="E80" s="77"/>
      <c r="F80" s="77"/>
      <c r="G80" s="77"/>
      <c r="H80" s="77"/>
      <c r="I80" s="77"/>
      <c r="J80" s="77"/>
      <c r="K80" s="48">
        <f>SUM(C80:J80)</f>
        <v>0</v>
      </c>
    </row>
    <row r="81" spans="1:12" x14ac:dyDescent="0.2">
      <c r="A81" s="8" t="s">
        <v>83</v>
      </c>
      <c r="B81" s="9"/>
      <c r="C81" s="78"/>
      <c r="D81" s="78"/>
      <c r="E81" s="78"/>
      <c r="F81" s="78"/>
      <c r="G81" s="78"/>
      <c r="H81" s="78"/>
      <c r="I81" s="78"/>
      <c r="J81" s="78"/>
      <c r="K81" s="50">
        <f>SUM(B81:J81)</f>
        <v>0</v>
      </c>
    </row>
    <row r="82" spans="1:12" x14ac:dyDescent="0.2">
      <c r="A82" s="8" t="s">
        <v>84</v>
      </c>
      <c r="B82" s="9"/>
      <c r="C82" s="10">
        <f>3+0</f>
        <v>3</v>
      </c>
      <c r="D82" s="10">
        <v>5</v>
      </c>
      <c r="E82" s="10">
        <v>7</v>
      </c>
      <c r="F82" s="10">
        <v>16</v>
      </c>
      <c r="G82" s="10">
        <f>1+0</f>
        <v>1</v>
      </c>
      <c r="H82" s="10">
        <f>2+0</f>
        <v>2</v>
      </c>
      <c r="I82" s="10">
        <f>0+0</f>
        <v>0</v>
      </c>
      <c r="J82" s="10">
        <f>0+0</f>
        <v>0</v>
      </c>
      <c r="K82" s="46">
        <f>SUM(C82:J82)</f>
        <v>34</v>
      </c>
    </row>
    <row r="83" spans="1:12" x14ac:dyDescent="0.2">
      <c r="A83" s="8" t="s">
        <v>13</v>
      </c>
      <c r="B83" s="9"/>
      <c r="C83" s="80">
        <v>0</v>
      </c>
      <c r="D83" s="80">
        <v>85</v>
      </c>
      <c r="E83" s="80">
        <v>42</v>
      </c>
      <c r="F83" s="80">
        <v>54</v>
      </c>
      <c r="G83" s="80">
        <v>4</v>
      </c>
      <c r="H83" s="80">
        <v>2</v>
      </c>
      <c r="I83" s="80">
        <v>0</v>
      </c>
      <c r="J83" s="80">
        <v>0</v>
      </c>
      <c r="K83" s="46">
        <f>SUM(C83:J83)</f>
        <v>187</v>
      </c>
      <c r="L83" s="12"/>
    </row>
    <row r="84" spans="1:12" ht="22.5" x14ac:dyDescent="0.2">
      <c r="A84" s="8" t="s">
        <v>85</v>
      </c>
      <c r="B84" s="9"/>
      <c r="C84" s="14">
        <f>C79+C80+C81-C82-C83</f>
        <v>12</v>
      </c>
      <c r="D84" s="14">
        <f t="shared" ref="D84:J84" si="18">D79+D80+D81-D82-D83</f>
        <v>191</v>
      </c>
      <c r="E84" s="14">
        <f t="shared" si="18"/>
        <v>225</v>
      </c>
      <c r="F84" s="14">
        <f t="shared" si="18"/>
        <v>920</v>
      </c>
      <c r="G84" s="14">
        <f t="shared" si="18"/>
        <v>98</v>
      </c>
      <c r="H84" s="14">
        <f t="shared" si="18"/>
        <v>86</v>
      </c>
      <c r="I84" s="14">
        <f t="shared" si="18"/>
        <v>21</v>
      </c>
      <c r="J84" s="14">
        <f t="shared" si="18"/>
        <v>0</v>
      </c>
      <c r="K84" s="46">
        <f>K79+K80+K81-K82-K83</f>
        <v>1553</v>
      </c>
    </row>
    <row r="85" spans="1:12" ht="22.5" x14ac:dyDescent="0.2">
      <c r="A85" s="8" t="s">
        <v>86</v>
      </c>
      <c r="B85" s="9"/>
      <c r="C85" s="14">
        <v>0</v>
      </c>
      <c r="D85" s="14">
        <v>0</v>
      </c>
      <c r="E85" s="14">
        <v>2</v>
      </c>
      <c r="F85" s="14">
        <v>4</v>
      </c>
      <c r="G85" s="14">
        <v>0</v>
      </c>
      <c r="H85" s="14">
        <v>0</v>
      </c>
      <c r="I85" s="14">
        <v>0</v>
      </c>
      <c r="J85" s="14">
        <v>0</v>
      </c>
      <c r="K85" s="50">
        <f>SUM(C85:J85)</f>
        <v>6</v>
      </c>
    </row>
    <row r="86" spans="1:12" ht="33.75" x14ac:dyDescent="0.2">
      <c r="A86" s="8" t="s">
        <v>15</v>
      </c>
      <c r="B86" s="16">
        <f t="shared" ref="B86:I86" si="19">C85</f>
        <v>0</v>
      </c>
      <c r="C86" s="16">
        <f t="shared" si="19"/>
        <v>0</v>
      </c>
      <c r="D86" s="16">
        <f t="shared" si="19"/>
        <v>2</v>
      </c>
      <c r="E86" s="16">
        <f t="shared" si="19"/>
        <v>4</v>
      </c>
      <c r="F86" s="16">
        <f t="shared" si="19"/>
        <v>0</v>
      </c>
      <c r="G86" s="16">
        <f t="shared" si="19"/>
        <v>0</v>
      </c>
      <c r="H86" s="16">
        <f t="shared" si="19"/>
        <v>0</v>
      </c>
      <c r="I86" s="16">
        <f t="shared" si="19"/>
        <v>0</v>
      </c>
      <c r="J86" s="9"/>
      <c r="K86" s="50">
        <f>SUM(B86:I86)</f>
        <v>6</v>
      </c>
    </row>
    <row r="87" spans="1:12" ht="22.5" x14ac:dyDescent="0.2">
      <c r="A87" s="8" t="s">
        <v>16</v>
      </c>
      <c r="B87" s="18">
        <f t="shared" ref="B87:K87" si="20">SUM(B84-B85+B86)</f>
        <v>0</v>
      </c>
      <c r="C87" s="18">
        <f t="shared" si="20"/>
        <v>12</v>
      </c>
      <c r="D87" s="18">
        <f t="shared" si="20"/>
        <v>193</v>
      </c>
      <c r="E87" s="18">
        <f t="shared" si="20"/>
        <v>227</v>
      </c>
      <c r="F87" s="18">
        <f t="shared" si="20"/>
        <v>916</v>
      </c>
      <c r="G87" s="18">
        <f t="shared" si="20"/>
        <v>98</v>
      </c>
      <c r="H87" s="18">
        <f t="shared" si="20"/>
        <v>86</v>
      </c>
      <c r="I87" s="18">
        <f t="shared" si="20"/>
        <v>21</v>
      </c>
      <c r="J87" s="18">
        <f t="shared" si="20"/>
        <v>0</v>
      </c>
      <c r="K87" s="52">
        <f t="shared" si="20"/>
        <v>1553</v>
      </c>
    </row>
    <row r="88" spans="1:12" ht="22.5" x14ac:dyDescent="0.2">
      <c r="A88" s="8" t="s">
        <v>91</v>
      </c>
      <c r="B88" s="14">
        <v>0</v>
      </c>
      <c r="C88" s="20">
        <v>0</v>
      </c>
      <c r="D88" s="20">
        <v>0</v>
      </c>
      <c r="E88" s="20">
        <v>1</v>
      </c>
      <c r="F88" s="20">
        <v>2</v>
      </c>
      <c r="G88" s="20">
        <v>0</v>
      </c>
      <c r="H88" s="20">
        <v>0</v>
      </c>
      <c r="I88" s="20">
        <v>0</v>
      </c>
      <c r="J88" s="20">
        <v>0</v>
      </c>
      <c r="K88" s="52">
        <f>SUM(B88:J88)</f>
        <v>3</v>
      </c>
    </row>
    <row r="89" spans="1:12" ht="22.5" x14ac:dyDescent="0.2">
      <c r="A89" s="8" t="s">
        <v>87</v>
      </c>
      <c r="B89" s="14">
        <v>0</v>
      </c>
      <c r="C89" s="14">
        <f>11+0</f>
        <v>11</v>
      </c>
      <c r="D89" s="14">
        <v>163</v>
      </c>
      <c r="E89" s="14">
        <v>100</v>
      </c>
      <c r="F89" s="14">
        <v>211</v>
      </c>
      <c r="G89" s="14">
        <f>19+2</f>
        <v>21</v>
      </c>
      <c r="H89" s="14">
        <f>14+2</f>
        <v>16</v>
      </c>
      <c r="I89" s="14">
        <f>3+0</f>
        <v>3</v>
      </c>
      <c r="J89" s="14">
        <f>0+0</f>
        <v>0</v>
      </c>
      <c r="K89" s="52">
        <f>SUM(B89:J89)</f>
        <v>525</v>
      </c>
    </row>
    <row r="90" spans="1:12" ht="22.5" x14ac:dyDescent="0.2">
      <c r="A90" s="8" t="s">
        <v>88</v>
      </c>
      <c r="B90" s="21">
        <v>0</v>
      </c>
      <c r="C90" s="21">
        <v>0</v>
      </c>
      <c r="D90" s="21">
        <v>0</v>
      </c>
      <c r="E90" s="21">
        <v>1</v>
      </c>
      <c r="F90" s="21">
        <v>0</v>
      </c>
      <c r="G90" s="21">
        <v>1</v>
      </c>
      <c r="H90" s="21">
        <v>0</v>
      </c>
      <c r="I90" s="21">
        <v>0</v>
      </c>
      <c r="J90" s="21">
        <v>0</v>
      </c>
      <c r="K90" s="53">
        <f>SUM(B90:J90)</f>
        <v>2</v>
      </c>
    </row>
    <row r="91" spans="1:12" x14ac:dyDescent="0.2">
      <c r="A91" s="8" t="s">
        <v>73</v>
      </c>
      <c r="B91" s="21">
        <v>0</v>
      </c>
      <c r="C91" s="21">
        <f t="shared" ref="C91:J91" si="21">C81</f>
        <v>0</v>
      </c>
      <c r="D91" s="21">
        <f t="shared" si="21"/>
        <v>0</v>
      </c>
      <c r="E91" s="21">
        <f t="shared" si="21"/>
        <v>0</v>
      </c>
      <c r="F91" s="21">
        <f t="shared" si="21"/>
        <v>0</v>
      </c>
      <c r="G91" s="21">
        <f t="shared" si="21"/>
        <v>0</v>
      </c>
      <c r="H91" s="21">
        <f t="shared" si="21"/>
        <v>0</v>
      </c>
      <c r="I91" s="21">
        <f t="shared" si="21"/>
        <v>0</v>
      </c>
      <c r="J91" s="21">
        <f t="shared" si="21"/>
        <v>0</v>
      </c>
      <c r="K91" s="53">
        <f>SUM(B91:J91)</f>
        <v>0</v>
      </c>
    </row>
    <row r="92" spans="1:12" x14ac:dyDescent="0.2">
      <c r="A92" s="8" t="s">
        <v>74</v>
      </c>
      <c r="B92" s="14">
        <v>0</v>
      </c>
      <c r="C92" s="21">
        <v>0</v>
      </c>
      <c r="D92" s="21">
        <v>4</v>
      </c>
      <c r="E92" s="21">
        <v>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52">
        <f>SUM(B92:J92)</f>
        <v>5</v>
      </c>
    </row>
    <row r="93" spans="1:12" ht="22.5" x14ac:dyDescent="0.2">
      <c r="A93" s="8" t="s">
        <v>75</v>
      </c>
      <c r="B93" s="14">
        <f>SUM(B87-B88-B89-B90-B91-B92)</f>
        <v>0</v>
      </c>
      <c r="C93" s="14">
        <f t="shared" ref="C93:K93" si="22">SUM(C87-C88-C89-C90-C91-C92)</f>
        <v>1</v>
      </c>
      <c r="D93" s="14">
        <f t="shared" si="22"/>
        <v>26</v>
      </c>
      <c r="E93" s="14">
        <f t="shared" si="22"/>
        <v>124</v>
      </c>
      <c r="F93" s="14">
        <f t="shared" si="22"/>
        <v>703</v>
      </c>
      <c r="G93" s="14">
        <f t="shared" si="22"/>
        <v>76</v>
      </c>
      <c r="H93" s="14">
        <f t="shared" si="22"/>
        <v>70</v>
      </c>
      <c r="I93" s="14">
        <f t="shared" si="22"/>
        <v>18</v>
      </c>
      <c r="J93" s="14">
        <f t="shared" si="22"/>
        <v>0</v>
      </c>
      <c r="K93" s="52">
        <f t="shared" si="22"/>
        <v>1018</v>
      </c>
    </row>
    <row r="94" spans="1:12" ht="33.75" x14ac:dyDescent="0.2">
      <c r="A94" s="8" t="s">
        <v>76</v>
      </c>
      <c r="B94" s="24">
        <f>SUM((B88*0.75)+(B89*0.75)+(B90*0.5)+(B91*0.5)+ (B92*1.5)+B93)</f>
        <v>0</v>
      </c>
      <c r="C94" s="24">
        <f t="shared" ref="C94:J94" si="23">SUM((C88*0.75)+(C89*0.75)+(C90*0.5)+(C91*0.5)+ (C92*1.5)+C93)</f>
        <v>9.25</v>
      </c>
      <c r="D94" s="24">
        <f t="shared" si="23"/>
        <v>154.25</v>
      </c>
      <c r="E94" s="24">
        <f t="shared" si="23"/>
        <v>201.75</v>
      </c>
      <c r="F94" s="24">
        <f t="shared" si="23"/>
        <v>862.75</v>
      </c>
      <c r="G94" s="24">
        <f t="shared" si="23"/>
        <v>92.25</v>
      </c>
      <c r="H94" s="24">
        <f t="shared" si="23"/>
        <v>82</v>
      </c>
      <c r="I94" s="24">
        <f t="shared" si="23"/>
        <v>20.25</v>
      </c>
      <c r="J94" s="24">
        <f t="shared" si="23"/>
        <v>0</v>
      </c>
      <c r="K94" s="54">
        <f>SUM(B94:J94)</f>
        <v>1422.5</v>
      </c>
    </row>
    <row r="95" spans="1:12" x14ac:dyDescent="0.2">
      <c r="A95" s="8" t="s">
        <v>77</v>
      </c>
      <c r="B95" s="26" t="s">
        <v>21</v>
      </c>
      <c r="C95" s="26" t="s">
        <v>22</v>
      </c>
      <c r="D95" s="27" t="s">
        <v>23</v>
      </c>
      <c r="E95" s="27" t="s">
        <v>24</v>
      </c>
      <c r="F95" s="27">
        <v>1</v>
      </c>
      <c r="G95" s="27" t="s">
        <v>25</v>
      </c>
      <c r="H95" s="27" t="s">
        <v>26</v>
      </c>
      <c r="I95" s="27" t="s">
        <v>27</v>
      </c>
      <c r="J95" s="27" t="s">
        <v>28</v>
      </c>
      <c r="K95" s="50"/>
    </row>
    <row r="96" spans="1:12" x14ac:dyDescent="0.2">
      <c r="A96" s="8"/>
      <c r="B96" s="26"/>
      <c r="C96" s="26"/>
      <c r="D96" s="27"/>
      <c r="E96" s="27"/>
      <c r="F96" s="27"/>
      <c r="G96" s="27"/>
      <c r="H96" s="27"/>
      <c r="I96" s="27"/>
      <c r="J96" s="27"/>
      <c r="K96" s="50"/>
    </row>
    <row r="97" spans="1:12" ht="15" x14ac:dyDescent="0.25">
      <c r="A97" s="8" t="s">
        <v>78</v>
      </c>
      <c r="B97" s="28">
        <f>ROUND(B94/9*5,2)</f>
        <v>0</v>
      </c>
      <c r="C97" s="28">
        <f>ROUND(C94/9*6,2)</f>
        <v>6.17</v>
      </c>
      <c r="D97" s="28">
        <f>ROUND(D94/9*7,2)</f>
        <v>119.97</v>
      </c>
      <c r="E97" s="28">
        <f>ROUND(E94/9*8,2)</f>
        <v>179.33</v>
      </c>
      <c r="F97" s="28">
        <f>ROUND(F94*F95,2)</f>
        <v>862.75</v>
      </c>
      <c r="G97" s="28">
        <f>ROUND(G94/9*11,2)</f>
        <v>112.75</v>
      </c>
      <c r="H97" s="28">
        <f>ROUND(H94/9*13,2)</f>
        <v>118.44</v>
      </c>
      <c r="I97" s="28">
        <f>ROUND(I94/9*15,2)</f>
        <v>33.75</v>
      </c>
      <c r="J97" s="28">
        <f>ROUND(J94/9*18,2)</f>
        <v>0</v>
      </c>
      <c r="K97" s="54">
        <f>SUM(B97:J97)</f>
        <v>1433.16</v>
      </c>
    </row>
    <row r="98" spans="1:12" ht="23.25" x14ac:dyDescent="0.25">
      <c r="A98" s="8" t="s">
        <v>89</v>
      </c>
      <c r="B98" s="55"/>
      <c r="C98" s="51"/>
      <c r="D98" s="51"/>
      <c r="E98" s="51"/>
      <c r="F98" s="51"/>
      <c r="G98" s="51"/>
      <c r="H98" s="51"/>
      <c r="I98" s="51"/>
      <c r="J98" s="51"/>
      <c r="K98" s="56">
        <v>0</v>
      </c>
    </row>
    <row r="99" spans="1:12" ht="23.25" x14ac:dyDescent="0.25">
      <c r="A99" s="8" t="s">
        <v>79</v>
      </c>
      <c r="B99" s="55"/>
      <c r="C99" s="51"/>
      <c r="D99" s="51"/>
      <c r="E99" s="51"/>
      <c r="F99" s="51"/>
      <c r="G99" s="51"/>
      <c r="H99" s="51"/>
      <c r="I99" s="51"/>
      <c r="J99" s="51"/>
      <c r="K99" s="54">
        <f>SUM(K97+K98)</f>
        <v>1433.16</v>
      </c>
    </row>
    <row r="100" spans="1:12" ht="16.5" thickBot="1" x14ac:dyDescent="0.3">
      <c r="A100" s="34" t="s">
        <v>90</v>
      </c>
      <c r="B100" s="57"/>
      <c r="C100" s="58"/>
      <c r="D100" s="58"/>
      <c r="E100" s="58"/>
      <c r="F100" s="58"/>
      <c r="G100" s="58"/>
      <c r="H100" s="58"/>
      <c r="I100" s="58"/>
      <c r="J100" s="58"/>
      <c r="K100" s="59">
        <v>1397.4</v>
      </c>
    </row>
    <row r="101" spans="1:12" ht="15.75" x14ac:dyDescent="0.25">
      <c r="A101" s="1" t="s">
        <v>80</v>
      </c>
      <c r="D101" s="2" t="s">
        <v>32</v>
      </c>
      <c r="K101" s="62"/>
    </row>
    <row r="102" spans="1:12" ht="16.5" thickBot="1" x14ac:dyDescent="0.3">
      <c r="D102" s="1" t="s">
        <v>58</v>
      </c>
      <c r="K102" s="62"/>
    </row>
    <row r="103" spans="1:12" x14ac:dyDescent="0.2">
      <c r="A103" s="4" t="s">
        <v>0</v>
      </c>
      <c r="B103" s="5" t="s">
        <v>1</v>
      </c>
      <c r="C103" s="6" t="s">
        <v>2</v>
      </c>
      <c r="D103" s="6" t="s">
        <v>3</v>
      </c>
      <c r="E103" s="6" t="s">
        <v>4</v>
      </c>
      <c r="F103" s="6" t="s">
        <v>5</v>
      </c>
      <c r="G103" s="6" t="s">
        <v>6</v>
      </c>
      <c r="H103" s="6" t="s">
        <v>7</v>
      </c>
      <c r="I103" s="6" t="s">
        <v>8</v>
      </c>
      <c r="J103" s="6" t="s">
        <v>9</v>
      </c>
      <c r="K103" s="63" t="s">
        <v>10</v>
      </c>
    </row>
    <row r="104" spans="1:12" x14ac:dyDescent="0.2">
      <c r="A104" s="8" t="s">
        <v>34</v>
      </c>
      <c r="B104" s="67"/>
      <c r="C104" s="10">
        <v>279</v>
      </c>
      <c r="D104" s="10">
        <v>1278</v>
      </c>
      <c r="E104" s="10">
        <v>2952</v>
      </c>
      <c r="F104" s="10">
        <v>448</v>
      </c>
      <c r="G104" s="10">
        <v>46</v>
      </c>
      <c r="H104" s="10">
        <v>1</v>
      </c>
      <c r="I104" s="10">
        <v>0</v>
      </c>
      <c r="J104" s="10">
        <v>2</v>
      </c>
      <c r="K104" s="46">
        <f>SUM(B104:J104)</f>
        <v>5006</v>
      </c>
    </row>
    <row r="105" spans="1:12" x14ac:dyDescent="0.2">
      <c r="A105" s="8" t="s">
        <v>72</v>
      </c>
      <c r="B105" s="67"/>
      <c r="C105" s="86">
        <v>0</v>
      </c>
      <c r="D105" s="86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46">
        <f>SUM(C105:J105)</f>
        <v>0</v>
      </c>
    </row>
    <row r="106" spans="1:12" x14ac:dyDescent="0.2">
      <c r="A106" s="8" t="s">
        <v>83</v>
      </c>
      <c r="B106" s="67"/>
      <c r="C106" s="86">
        <v>0</v>
      </c>
      <c r="D106" s="86"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46">
        <f>SUM(B106:J106)</f>
        <v>0</v>
      </c>
    </row>
    <row r="107" spans="1:12" x14ac:dyDescent="0.2">
      <c r="A107" s="8" t="s">
        <v>84</v>
      </c>
      <c r="B107" s="67"/>
      <c r="C107" s="10">
        <v>3</v>
      </c>
      <c r="D107" s="10">
        <v>23</v>
      </c>
      <c r="E107" s="10">
        <v>23</v>
      </c>
      <c r="F107" s="10">
        <v>4</v>
      </c>
      <c r="G107" s="10">
        <f>0+0</f>
        <v>0</v>
      </c>
      <c r="H107" s="10">
        <f>0+0</f>
        <v>0</v>
      </c>
      <c r="I107" s="10">
        <f>0+0</f>
        <v>0</v>
      </c>
      <c r="J107" s="10">
        <f>0+0</f>
        <v>0</v>
      </c>
      <c r="K107" s="46">
        <f>SUM(C107:J107)</f>
        <v>53</v>
      </c>
    </row>
    <row r="108" spans="1:12" x14ac:dyDescent="0.2">
      <c r="A108" s="8" t="s">
        <v>13</v>
      </c>
      <c r="B108" s="67"/>
      <c r="C108" s="80">
        <v>134.30000000000001</v>
      </c>
      <c r="D108" s="80">
        <v>456</v>
      </c>
      <c r="E108" s="80">
        <v>583</v>
      </c>
      <c r="F108" s="80">
        <v>98.26</v>
      </c>
      <c r="G108" s="80">
        <v>14.76</v>
      </c>
      <c r="H108" s="80">
        <v>0.98</v>
      </c>
      <c r="I108" s="80">
        <v>0</v>
      </c>
      <c r="J108" s="80">
        <v>0</v>
      </c>
      <c r="K108" s="46">
        <f>SUM(C108:J108)</f>
        <v>1287.3</v>
      </c>
      <c r="L108" s="12"/>
    </row>
    <row r="109" spans="1:12" ht="22.5" x14ac:dyDescent="0.2">
      <c r="A109" s="8" t="s">
        <v>85</v>
      </c>
      <c r="B109" s="67"/>
      <c r="C109" s="79">
        <f>C104+C105+C106-C107-C108</f>
        <v>141.69999999999999</v>
      </c>
      <c r="D109" s="79">
        <f t="shared" ref="D109:J109" si="24">D104+D105+D106-D107-D108</f>
        <v>799</v>
      </c>
      <c r="E109" s="14">
        <f t="shared" si="24"/>
        <v>2346</v>
      </c>
      <c r="F109" s="79">
        <f t="shared" si="24"/>
        <v>345.74</v>
      </c>
      <c r="G109" s="79">
        <f t="shared" si="24"/>
        <v>31.240000000000002</v>
      </c>
      <c r="H109" s="79">
        <f t="shared" si="24"/>
        <v>2.0000000000000018E-2</v>
      </c>
      <c r="I109" s="79">
        <f t="shared" si="24"/>
        <v>0</v>
      </c>
      <c r="J109" s="79">
        <f t="shared" si="24"/>
        <v>2</v>
      </c>
      <c r="K109" s="46">
        <f>K104+K105+K106-K107-K108</f>
        <v>3665.7</v>
      </c>
    </row>
    <row r="110" spans="1:12" ht="22.5" x14ac:dyDescent="0.2">
      <c r="A110" s="8" t="s">
        <v>86</v>
      </c>
      <c r="B110" s="67"/>
      <c r="C110" s="14">
        <v>0</v>
      </c>
      <c r="D110" s="14">
        <v>3</v>
      </c>
      <c r="E110" s="14">
        <v>15</v>
      </c>
      <c r="F110" s="14">
        <v>5</v>
      </c>
      <c r="G110" s="14">
        <v>4</v>
      </c>
      <c r="H110" s="14">
        <v>0</v>
      </c>
      <c r="I110" s="14">
        <v>0</v>
      </c>
      <c r="J110" s="14">
        <v>1</v>
      </c>
      <c r="K110" s="46">
        <f>SUM(C110:J110)</f>
        <v>28</v>
      </c>
    </row>
    <row r="111" spans="1:12" ht="33.75" x14ac:dyDescent="0.2">
      <c r="A111" s="8" t="s">
        <v>15</v>
      </c>
      <c r="B111" s="14">
        <f t="shared" ref="B111:I111" si="25">C110</f>
        <v>0</v>
      </c>
      <c r="C111" s="14">
        <f t="shared" si="25"/>
        <v>3</v>
      </c>
      <c r="D111" s="14">
        <f t="shared" si="25"/>
        <v>15</v>
      </c>
      <c r="E111" s="14">
        <f t="shared" si="25"/>
        <v>5</v>
      </c>
      <c r="F111" s="14">
        <f t="shared" si="25"/>
        <v>4</v>
      </c>
      <c r="G111" s="14">
        <f t="shared" si="25"/>
        <v>0</v>
      </c>
      <c r="H111" s="14">
        <f t="shared" si="25"/>
        <v>0</v>
      </c>
      <c r="I111" s="14">
        <f t="shared" si="25"/>
        <v>1</v>
      </c>
      <c r="J111" s="67"/>
      <c r="K111" s="46">
        <f>SUM(B111:I111)</f>
        <v>28</v>
      </c>
    </row>
    <row r="112" spans="1:12" ht="22.5" x14ac:dyDescent="0.2">
      <c r="A112" s="8" t="s">
        <v>16</v>
      </c>
      <c r="B112" s="14">
        <f t="shared" ref="B112:K112" si="26">SUM(B109-B110+B111)</f>
        <v>0</v>
      </c>
      <c r="C112" s="14">
        <f t="shared" si="26"/>
        <v>144.69999999999999</v>
      </c>
      <c r="D112" s="14">
        <f t="shared" si="26"/>
        <v>811</v>
      </c>
      <c r="E112" s="14">
        <f t="shared" si="26"/>
        <v>2336</v>
      </c>
      <c r="F112" s="14">
        <f t="shared" si="26"/>
        <v>344.74</v>
      </c>
      <c r="G112" s="14">
        <f t="shared" si="26"/>
        <v>27.240000000000002</v>
      </c>
      <c r="H112" s="14">
        <f t="shared" si="26"/>
        <v>2.0000000000000018E-2</v>
      </c>
      <c r="I112" s="14">
        <f t="shared" si="26"/>
        <v>1</v>
      </c>
      <c r="J112" s="14">
        <f t="shared" si="26"/>
        <v>1</v>
      </c>
      <c r="K112" s="46">
        <f t="shared" si="26"/>
        <v>3665.7</v>
      </c>
    </row>
    <row r="113" spans="1:11" ht="22.5" x14ac:dyDescent="0.2">
      <c r="A113" s="8" t="s">
        <v>91</v>
      </c>
      <c r="B113" s="14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46">
        <f>SUM(B113:J113)</f>
        <v>0</v>
      </c>
    </row>
    <row r="114" spans="1:11" ht="22.5" x14ac:dyDescent="0.2">
      <c r="A114" s="8" t="s">
        <v>87</v>
      </c>
      <c r="B114" s="14">
        <v>0</v>
      </c>
      <c r="C114" s="14">
        <v>222</v>
      </c>
      <c r="D114" s="14">
        <v>766</v>
      </c>
      <c r="E114" s="14">
        <v>883</v>
      </c>
      <c r="F114" s="14">
        <v>136</v>
      </c>
      <c r="G114" s="14">
        <v>10</v>
      </c>
      <c r="H114" s="14">
        <f>1+0</f>
        <v>1</v>
      </c>
      <c r="I114" s="14">
        <f>0+0</f>
        <v>0</v>
      </c>
      <c r="J114" s="14">
        <f>0+0</f>
        <v>0</v>
      </c>
      <c r="K114" s="46">
        <f>SUM(B114:J114)</f>
        <v>2018</v>
      </c>
    </row>
    <row r="115" spans="1:11" ht="22.5" x14ac:dyDescent="0.2">
      <c r="A115" s="8" t="s">
        <v>88</v>
      </c>
      <c r="B115" s="14">
        <v>0</v>
      </c>
      <c r="C115" s="14">
        <v>0</v>
      </c>
      <c r="D115" s="14">
        <v>2</v>
      </c>
      <c r="E115" s="14">
        <v>1</v>
      </c>
      <c r="F115" s="14">
        <v>0</v>
      </c>
      <c r="G115" s="14">
        <v>1</v>
      </c>
      <c r="H115" s="14">
        <v>0</v>
      </c>
      <c r="I115" s="14">
        <v>1</v>
      </c>
      <c r="J115" s="14">
        <v>0</v>
      </c>
      <c r="K115" s="46">
        <f>SUM(B115:J115)</f>
        <v>5</v>
      </c>
    </row>
    <row r="116" spans="1:11" x14ac:dyDescent="0.2">
      <c r="A116" s="8" t="s">
        <v>73</v>
      </c>
      <c r="B116" s="14">
        <v>0</v>
      </c>
      <c r="C116" s="14">
        <f t="shared" ref="C116:J116" si="27">C106</f>
        <v>0</v>
      </c>
      <c r="D116" s="14">
        <f t="shared" si="27"/>
        <v>0</v>
      </c>
      <c r="E116" s="14">
        <f t="shared" si="27"/>
        <v>0</v>
      </c>
      <c r="F116" s="14">
        <f t="shared" si="27"/>
        <v>0</v>
      </c>
      <c r="G116" s="14">
        <f t="shared" si="27"/>
        <v>0</v>
      </c>
      <c r="H116" s="14">
        <f t="shared" si="27"/>
        <v>0</v>
      </c>
      <c r="I116" s="14">
        <f t="shared" si="27"/>
        <v>0</v>
      </c>
      <c r="J116" s="14">
        <f t="shared" si="27"/>
        <v>0</v>
      </c>
      <c r="K116" s="46">
        <f>SUM(B116:J116)</f>
        <v>0</v>
      </c>
    </row>
    <row r="117" spans="1:11" x14ac:dyDescent="0.2">
      <c r="A117" s="8" t="s">
        <v>74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46">
        <f>SUM(B117:J117)</f>
        <v>0</v>
      </c>
    </row>
    <row r="118" spans="1:11" ht="22.5" x14ac:dyDescent="0.2">
      <c r="A118" s="8" t="s">
        <v>75</v>
      </c>
      <c r="B118" s="14">
        <f>SUM(B112-B113-B114-B115-B116-B117)</f>
        <v>0</v>
      </c>
      <c r="C118" s="14">
        <v>-77</v>
      </c>
      <c r="D118" s="14">
        <f t="shared" ref="D118:K118" si="28">SUM(D112-D113-D114-D115-D116-D117)</f>
        <v>43</v>
      </c>
      <c r="E118" s="14">
        <f t="shared" si="28"/>
        <v>1452</v>
      </c>
      <c r="F118" s="14">
        <v>209</v>
      </c>
      <c r="G118" s="14">
        <v>16</v>
      </c>
      <c r="H118" s="14">
        <v>-1</v>
      </c>
      <c r="I118" s="14">
        <f t="shared" si="28"/>
        <v>0</v>
      </c>
      <c r="J118" s="14">
        <f t="shared" si="28"/>
        <v>1</v>
      </c>
      <c r="K118" s="46">
        <f t="shared" si="28"/>
        <v>1642.6999999999998</v>
      </c>
    </row>
    <row r="119" spans="1:11" ht="33.75" x14ac:dyDescent="0.2">
      <c r="A119" s="8" t="s">
        <v>76</v>
      </c>
      <c r="B119" s="14">
        <f>SUM((B113*0.75)+(B114*0.75)+(B115*0.5)+(B116*0.5)+ (B117*1.5)+B118)</f>
        <v>0</v>
      </c>
      <c r="C119" s="70">
        <f t="shared" ref="C119:J119" si="29">SUM((C113*0.75)+(C114*0.75)+(C115*0.5)+(C116*0.5)+ (C117*1.5)+C118)</f>
        <v>89.5</v>
      </c>
      <c r="D119" s="70">
        <f t="shared" si="29"/>
        <v>618.5</v>
      </c>
      <c r="E119" s="70">
        <f t="shared" si="29"/>
        <v>2114.75</v>
      </c>
      <c r="F119" s="70">
        <f t="shared" si="29"/>
        <v>311</v>
      </c>
      <c r="G119" s="70">
        <f t="shared" si="29"/>
        <v>24</v>
      </c>
      <c r="H119" s="70">
        <f t="shared" si="29"/>
        <v>-0.25</v>
      </c>
      <c r="I119" s="70">
        <f t="shared" si="29"/>
        <v>0.5</v>
      </c>
      <c r="J119" s="70">
        <f t="shared" si="29"/>
        <v>1</v>
      </c>
      <c r="K119" s="54">
        <f>SUM(B119:J119)</f>
        <v>3159</v>
      </c>
    </row>
    <row r="120" spans="1:11" x14ac:dyDescent="0.2">
      <c r="A120" s="8" t="s">
        <v>77</v>
      </c>
      <c r="B120" s="71" t="s">
        <v>21</v>
      </c>
      <c r="C120" s="71" t="s">
        <v>22</v>
      </c>
      <c r="D120" s="71" t="s">
        <v>23</v>
      </c>
      <c r="E120" s="71" t="s">
        <v>24</v>
      </c>
      <c r="F120" s="71">
        <v>1</v>
      </c>
      <c r="G120" s="71" t="s">
        <v>25</v>
      </c>
      <c r="H120" s="71" t="s">
        <v>26</v>
      </c>
      <c r="I120" s="71" t="s">
        <v>27</v>
      </c>
      <c r="J120" s="71" t="s">
        <v>28</v>
      </c>
      <c r="K120" s="46"/>
    </row>
    <row r="121" spans="1:11" x14ac:dyDescent="0.2">
      <c r="A121" s="8"/>
      <c r="B121" s="71"/>
      <c r="C121" s="71"/>
      <c r="D121" s="71"/>
      <c r="E121" s="71"/>
      <c r="F121" s="71"/>
      <c r="G121" s="71"/>
      <c r="H121" s="71"/>
      <c r="I121" s="71"/>
      <c r="J121" s="71"/>
      <c r="K121" s="46"/>
    </row>
    <row r="122" spans="1:11" ht="15" x14ac:dyDescent="0.25">
      <c r="A122" s="8" t="s">
        <v>78</v>
      </c>
      <c r="B122" s="72">
        <f>ROUND(B119/9*5,2)</f>
        <v>0</v>
      </c>
      <c r="C122" s="72">
        <f>ROUND(C119/9*6,2)</f>
        <v>59.67</v>
      </c>
      <c r="D122" s="72">
        <f>ROUND(D119/9*7,2)</f>
        <v>481.06</v>
      </c>
      <c r="E122" s="72">
        <f>ROUND(E119/9*8,2)</f>
        <v>1879.78</v>
      </c>
      <c r="F122" s="72">
        <f>ROUND(F119*F120,2)</f>
        <v>311</v>
      </c>
      <c r="G122" s="72">
        <f>ROUND(G119/9*11,2)</f>
        <v>29.33</v>
      </c>
      <c r="H122" s="72">
        <f>ROUND(H119/9*13,2)</f>
        <v>-0.36</v>
      </c>
      <c r="I122" s="72">
        <f>ROUND(I119/9*15,2)</f>
        <v>0.83</v>
      </c>
      <c r="J122" s="72">
        <f>ROUND(J119/9*18,2)</f>
        <v>2</v>
      </c>
      <c r="K122" s="54">
        <f>SUM(B122:J122)</f>
        <v>2763.31</v>
      </c>
    </row>
    <row r="123" spans="1:11" ht="23.25" x14ac:dyDescent="0.25">
      <c r="A123" s="8" t="s">
        <v>89</v>
      </c>
      <c r="B123" s="73"/>
      <c r="C123" s="74"/>
      <c r="D123" s="70"/>
      <c r="E123" s="70"/>
      <c r="F123" s="70"/>
      <c r="G123" s="70"/>
      <c r="H123" s="70"/>
      <c r="I123" s="70"/>
      <c r="J123" s="70"/>
      <c r="K123" s="46">
        <v>0</v>
      </c>
    </row>
    <row r="124" spans="1:11" ht="23.25" x14ac:dyDescent="0.25">
      <c r="A124" s="8" t="s">
        <v>79</v>
      </c>
      <c r="B124" s="73"/>
      <c r="C124" s="74"/>
      <c r="D124" s="70"/>
      <c r="E124" s="70"/>
      <c r="F124" s="70"/>
      <c r="G124" s="70"/>
      <c r="H124" s="70"/>
      <c r="I124" s="70"/>
      <c r="J124" s="70"/>
      <c r="K124" s="54">
        <f>SUM(K122+K123)</f>
        <v>2763.31</v>
      </c>
    </row>
    <row r="125" spans="1:11" ht="16.5" thickBot="1" x14ac:dyDescent="0.3">
      <c r="A125" s="34" t="s">
        <v>90</v>
      </c>
      <c r="B125" s="75"/>
      <c r="C125" s="76"/>
      <c r="D125" s="76"/>
      <c r="E125" s="76"/>
      <c r="F125" s="76"/>
      <c r="G125" s="76"/>
      <c r="H125" s="76"/>
      <c r="I125" s="76"/>
      <c r="J125" s="76"/>
      <c r="K125" s="59">
        <f>SUM(K124/100*97.5)</f>
        <v>2694.2272499999999</v>
      </c>
    </row>
    <row r="126" spans="1:11" ht="15.75" x14ac:dyDescent="0.25">
      <c r="A126" s="1" t="s">
        <v>80</v>
      </c>
      <c r="D126" s="2" t="s">
        <v>32</v>
      </c>
      <c r="K126" s="62"/>
    </row>
    <row r="127" spans="1:11" ht="16.5" thickBot="1" x14ac:dyDescent="0.3">
      <c r="C127" s="1" t="s">
        <v>82</v>
      </c>
      <c r="K127" s="62"/>
    </row>
    <row r="128" spans="1:11" x14ac:dyDescent="0.2">
      <c r="A128" s="4" t="s">
        <v>0</v>
      </c>
      <c r="B128" s="5" t="s">
        <v>1</v>
      </c>
      <c r="C128" s="6" t="s">
        <v>2</v>
      </c>
      <c r="D128" s="6" t="s">
        <v>3</v>
      </c>
      <c r="E128" s="6" t="s">
        <v>4</v>
      </c>
      <c r="F128" s="6" t="s">
        <v>5</v>
      </c>
      <c r="G128" s="6" t="s">
        <v>6</v>
      </c>
      <c r="H128" s="6" t="s">
        <v>7</v>
      </c>
      <c r="I128" s="6" t="s">
        <v>8</v>
      </c>
      <c r="J128" s="6" t="s">
        <v>9</v>
      </c>
      <c r="K128" s="63" t="s">
        <v>10</v>
      </c>
    </row>
    <row r="129" spans="1:12" x14ac:dyDescent="0.2">
      <c r="A129" s="8" t="s">
        <v>34</v>
      </c>
      <c r="B129" s="9"/>
      <c r="C129" s="10">
        <v>1806</v>
      </c>
      <c r="D129" s="10">
        <v>7139</v>
      </c>
      <c r="E129" s="10">
        <v>13872</v>
      </c>
      <c r="F129" s="10">
        <v>13237</v>
      </c>
      <c r="G129" s="10">
        <v>6414</v>
      </c>
      <c r="H129" s="10">
        <v>2620</v>
      </c>
      <c r="I129" s="10">
        <v>3116</v>
      </c>
      <c r="J129" s="10">
        <v>573</v>
      </c>
      <c r="K129" s="46">
        <f>SUM(B129:J129)</f>
        <v>48777</v>
      </c>
    </row>
    <row r="130" spans="1:12" x14ac:dyDescent="0.2">
      <c r="A130" s="8" t="s">
        <v>72</v>
      </c>
      <c r="B130" s="9"/>
      <c r="C130" s="77">
        <v>0</v>
      </c>
      <c r="D130" s="77">
        <v>7</v>
      </c>
      <c r="E130" s="77">
        <v>22</v>
      </c>
      <c r="F130" s="77">
        <v>22</v>
      </c>
      <c r="G130" s="77">
        <v>10</v>
      </c>
      <c r="H130" s="77">
        <v>4</v>
      </c>
      <c r="I130" s="77">
        <v>4</v>
      </c>
      <c r="J130" s="77">
        <v>1</v>
      </c>
      <c r="K130" s="48">
        <f>SUM(C130:J130)</f>
        <v>70</v>
      </c>
    </row>
    <row r="131" spans="1:12" x14ac:dyDescent="0.2">
      <c r="A131" s="8" t="s">
        <v>83</v>
      </c>
      <c r="B131" s="9"/>
      <c r="C131" s="77">
        <v>28</v>
      </c>
      <c r="D131" s="77">
        <v>107</v>
      </c>
      <c r="E131" s="77">
        <v>221</v>
      </c>
      <c r="F131" s="77">
        <v>185</v>
      </c>
      <c r="G131" s="77">
        <v>80</v>
      </c>
      <c r="H131" s="77">
        <v>33</v>
      </c>
      <c r="I131" s="77">
        <v>38</v>
      </c>
      <c r="J131" s="77">
        <v>7</v>
      </c>
      <c r="K131" s="50">
        <f>SUM(B131:J131)</f>
        <v>699</v>
      </c>
    </row>
    <row r="132" spans="1:12" x14ac:dyDescent="0.2">
      <c r="A132" s="8" t="s">
        <v>84</v>
      </c>
      <c r="B132" s="9"/>
      <c r="C132" s="77">
        <f t="shared" ref="C132:J132" si="30">C7-C32-C57-C82-C107</f>
        <v>458</v>
      </c>
      <c r="D132" s="77">
        <f t="shared" si="30"/>
        <v>723</v>
      </c>
      <c r="E132" s="77">
        <f t="shared" si="30"/>
        <v>1117</v>
      </c>
      <c r="F132" s="77">
        <f t="shared" si="30"/>
        <v>1762</v>
      </c>
      <c r="G132" s="77">
        <f t="shared" si="30"/>
        <v>1029</v>
      </c>
      <c r="H132" s="77">
        <f t="shared" si="30"/>
        <v>237</v>
      </c>
      <c r="I132" s="77">
        <f t="shared" si="30"/>
        <v>235</v>
      </c>
      <c r="J132" s="77">
        <f t="shared" si="30"/>
        <v>206</v>
      </c>
      <c r="K132" s="46">
        <f>SUM(C132:J132)</f>
        <v>5767</v>
      </c>
    </row>
    <row r="133" spans="1:12" x14ac:dyDescent="0.2">
      <c r="A133" s="8" t="s">
        <v>13</v>
      </c>
      <c r="B133" s="9"/>
      <c r="C133" s="77">
        <v>318</v>
      </c>
      <c r="D133" s="77">
        <v>1680</v>
      </c>
      <c r="E133" s="77">
        <v>2044</v>
      </c>
      <c r="F133" s="77">
        <v>775</v>
      </c>
      <c r="G133" s="77">
        <v>224</v>
      </c>
      <c r="H133" s="77">
        <v>24</v>
      </c>
      <c r="I133" s="77">
        <v>15</v>
      </c>
      <c r="J133" s="77">
        <v>0</v>
      </c>
      <c r="K133" s="46">
        <f>SUM(C133:J133)</f>
        <v>5080</v>
      </c>
      <c r="L133" s="12"/>
    </row>
    <row r="134" spans="1:12" ht="22.5" x14ac:dyDescent="0.2">
      <c r="A134" s="8" t="s">
        <v>85</v>
      </c>
      <c r="B134" s="9"/>
      <c r="C134" s="14">
        <f>C129+C130+C131-C132-C133</f>
        <v>1058</v>
      </c>
      <c r="D134" s="14">
        <f t="shared" ref="D134:J134" si="31">D129+D130+D131-D132-D133</f>
        <v>4850</v>
      </c>
      <c r="E134" s="14">
        <f t="shared" si="31"/>
        <v>10954</v>
      </c>
      <c r="F134" s="14">
        <f t="shared" si="31"/>
        <v>10907</v>
      </c>
      <c r="G134" s="14">
        <f t="shared" si="31"/>
        <v>5251</v>
      </c>
      <c r="H134" s="14">
        <f t="shared" si="31"/>
        <v>2396</v>
      </c>
      <c r="I134" s="14">
        <f t="shared" si="31"/>
        <v>2908</v>
      </c>
      <c r="J134" s="14">
        <f t="shared" si="31"/>
        <v>375</v>
      </c>
      <c r="K134" s="46">
        <f>K129+K130+K131-K132-K133</f>
        <v>38699</v>
      </c>
    </row>
    <row r="135" spans="1:12" ht="22.5" x14ac:dyDescent="0.2">
      <c r="A135" s="8" t="s">
        <v>86</v>
      </c>
      <c r="B135" s="9"/>
      <c r="C135" s="14">
        <v>0</v>
      </c>
      <c r="D135" s="14">
        <v>17</v>
      </c>
      <c r="E135" s="14">
        <v>47</v>
      </c>
      <c r="F135" s="14">
        <v>51</v>
      </c>
      <c r="G135" s="14">
        <v>25</v>
      </c>
      <c r="H135" s="14">
        <v>12</v>
      </c>
      <c r="I135" s="14">
        <v>14</v>
      </c>
      <c r="J135" s="14">
        <v>6</v>
      </c>
      <c r="K135" s="50">
        <f>SUM(C135:J135)</f>
        <v>172</v>
      </c>
    </row>
    <row r="136" spans="1:12" ht="33.75" x14ac:dyDescent="0.2">
      <c r="A136" s="8" t="s">
        <v>15</v>
      </c>
      <c r="B136" s="16">
        <f t="shared" ref="B136:I136" si="32">C135</f>
        <v>0</v>
      </c>
      <c r="C136" s="16">
        <f t="shared" si="32"/>
        <v>17</v>
      </c>
      <c r="D136" s="16">
        <f t="shared" si="32"/>
        <v>47</v>
      </c>
      <c r="E136" s="16">
        <f t="shared" si="32"/>
        <v>51</v>
      </c>
      <c r="F136" s="16">
        <f t="shared" si="32"/>
        <v>25</v>
      </c>
      <c r="G136" s="16">
        <f t="shared" si="32"/>
        <v>12</v>
      </c>
      <c r="H136" s="16">
        <f t="shared" si="32"/>
        <v>14</v>
      </c>
      <c r="I136" s="16">
        <f t="shared" si="32"/>
        <v>6</v>
      </c>
      <c r="J136" s="9"/>
      <c r="K136" s="50">
        <f>SUM(B136:I136)</f>
        <v>172</v>
      </c>
    </row>
    <row r="137" spans="1:12" ht="22.5" x14ac:dyDescent="0.2">
      <c r="A137" s="8" t="s">
        <v>16</v>
      </c>
      <c r="B137" s="18">
        <f t="shared" ref="B137:K137" si="33">SUM(B134-B135+B136)</f>
        <v>0</v>
      </c>
      <c r="C137" s="18">
        <f t="shared" si="33"/>
        <v>1075</v>
      </c>
      <c r="D137" s="18">
        <f t="shared" si="33"/>
        <v>4880</v>
      </c>
      <c r="E137" s="18">
        <f t="shared" si="33"/>
        <v>10958</v>
      </c>
      <c r="F137" s="18">
        <f t="shared" si="33"/>
        <v>10881</v>
      </c>
      <c r="G137" s="18">
        <f t="shared" si="33"/>
        <v>5238</v>
      </c>
      <c r="H137" s="18">
        <f t="shared" si="33"/>
        <v>2398</v>
      </c>
      <c r="I137" s="18">
        <f t="shared" si="33"/>
        <v>2900</v>
      </c>
      <c r="J137" s="18">
        <f t="shared" si="33"/>
        <v>369</v>
      </c>
      <c r="K137" s="52">
        <f t="shared" si="33"/>
        <v>38699</v>
      </c>
    </row>
    <row r="138" spans="1:12" ht="22.5" x14ac:dyDescent="0.2">
      <c r="A138" s="8" t="s">
        <v>91</v>
      </c>
      <c r="B138" s="14">
        <v>0</v>
      </c>
      <c r="C138" s="14">
        <v>0</v>
      </c>
      <c r="D138" s="14">
        <v>3</v>
      </c>
      <c r="E138" s="14">
        <v>13</v>
      </c>
      <c r="F138" s="14">
        <v>25</v>
      </c>
      <c r="G138" s="14">
        <v>13</v>
      </c>
      <c r="H138" s="14">
        <v>7</v>
      </c>
      <c r="I138" s="14">
        <v>14</v>
      </c>
      <c r="J138" s="14">
        <v>2</v>
      </c>
      <c r="K138" s="52">
        <f>SUM(B138:J138)</f>
        <v>77</v>
      </c>
    </row>
    <row r="139" spans="1:12" ht="22.5" x14ac:dyDescent="0.2">
      <c r="A139" s="8" t="s">
        <v>87</v>
      </c>
      <c r="B139" s="14">
        <f t="shared" ref="B139:J139" si="34">B14-B39-B64-B89-B114</f>
        <v>0</v>
      </c>
      <c r="C139" s="14">
        <f t="shared" si="34"/>
        <v>878</v>
      </c>
      <c r="D139" s="14">
        <f t="shared" si="34"/>
        <v>3473</v>
      </c>
      <c r="E139" s="14">
        <f t="shared" si="34"/>
        <v>4326</v>
      </c>
      <c r="F139" s="14">
        <f t="shared" si="34"/>
        <v>3528</v>
      </c>
      <c r="G139" s="14">
        <f t="shared" si="34"/>
        <v>1517</v>
      </c>
      <c r="H139" s="14">
        <f t="shared" si="34"/>
        <v>554</v>
      </c>
      <c r="I139" s="14">
        <f t="shared" si="34"/>
        <v>476</v>
      </c>
      <c r="J139" s="14">
        <f t="shared" si="34"/>
        <v>27</v>
      </c>
      <c r="K139" s="52">
        <f>SUM(B139:J139)</f>
        <v>14779</v>
      </c>
    </row>
    <row r="140" spans="1:12" ht="22.5" x14ac:dyDescent="0.2">
      <c r="A140" s="8" t="s">
        <v>88</v>
      </c>
      <c r="B140" s="14">
        <v>0</v>
      </c>
      <c r="C140" s="14">
        <v>2</v>
      </c>
      <c r="D140" s="14">
        <v>9</v>
      </c>
      <c r="E140" s="14">
        <v>21</v>
      </c>
      <c r="F140" s="14">
        <v>30</v>
      </c>
      <c r="G140" s="14">
        <v>16</v>
      </c>
      <c r="H140" s="14">
        <v>14</v>
      </c>
      <c r="I140" s="14">
        <v>28</v>
      </c>
      <c r="J140" s="14">
        <v>16</v>
      </c>
      <c r="K140" s="53">
        <f>SUM(B140:J140)</f>
        <v>136</v>
      </c>
    </row>
    <row r="141" spans="1:12" x14ac:dyDescent="0.2">
      <c r="A141" s="8" t="s">
        <v>73</v>
      </c>
      <c r="B141" s="21">
        <v>0</v>
      </c>
      <c r="C141" s="21">
        <f t="shared" ref="C141:J141" si="35">C131</f>
        <v>28</v>
      </c>
      <c r="D141" s="21">
        <f t="shared" si="35"/>
        <v>107</v>
      </c>
      <c r="E141" s="21">
        <f t="shared" si="35"/>
        <v>221</v>
      </c>
      <c r="F141" s="21">
        <f t="shared" si="35"/>
        <v>185</v>
      </c>
      <c r="G141" s="21">
        <f t="shared" si="35"/>
        <v>80</v>
      </c>
      <c r="H141" s="21">
        <f t="shared" si="35"/>
        <v>33</v>
      </c>
      <c r="I141" s="21">
        <f t="shared" si="35"/>
        <v>38</v>
      </c>
      <c r="J141" s="21">
        <f t="shared" si="35"/>
        <v>7</v>
      </c>
      <c r="K141" s="53">
        <f>SUM(B141:J141)</f>
        <v>699</v>
      </c>
    </row>
    <row r="142" spans="1:12" x14ac:dyDescent="0.2">
      <c r="A142" s="8" t="s">
        <v>74</v>
      </c>
      <c r="B142" s="14">
        <v>0</v>
      </c>
      <c r="C142" s="14">
        <v>3</v>
      </c>
      <c r="D142" s="14">
        <v>9</v>
      </c>
      <c r="E142" s="14">
        <v>13</v>
      </c>
      <c r="F142" s="14">
        <v>17</v>
      </c>
      <c r="G142" s="14">
        <v>10</v>
      </c>
      <c r="H142" s="14">
        <v>2</v>
      </c>
      <c r="I142" s="14">
        <v>5</v>
      </c>
      <c r="J142" s="14">
        <v>1</v>
      </c>
      <c r="K142" s="52">
        <f>SUM(B142:J142)</f>
        <v>60</v>
      </c>
    </row>
    <row r="143" spans="1:12" ht="22.5" x14ac:dyDescent="0.2">
      <c r="A143" s="8" t="s">
        <v>75</v>
      </c>
      <c r="B143" s="14">
        <f>SUM(B137-B138-B139-B140-B141-B142)</f>
        <v>0</v>
      </c>
      <c r="C143" s="14">
        <f t="shared" ref="C143:K143" si="36">SUM(C137-C138-C139-C140-C141-C142)</f>
        <v>164</v>
      </c>
      <c r="D143" s="14">
        <f t="shared" si="36"/>
        <v>1279</v>
      </c>
      <c r="E143" s="14">
        <f t="shared" si="36"/>
        <v>6364</v>
      </c>
      <c r="F143" s="14">
        <f t="shared" si="36"/>
        <v>7096</v>
      </c>
      <c r="G143" s="14">
        <f t="shared" si="36"/>
        <v>3602</v>
      </c>
      <c r="H143" s="14">
        <f t="shared" si="36"/>
        <v>1788</v>
      </c>
      <c r="I143" s="14">
        <f t="shared" si="36"/>
        <v>2339</v>
      </c>
      <c r="J143" s="14">
        <f t="shared" si="36"/>
        <v>316</v>
      </c>
      <c r="K143" s="52">
        <f t="shared" si="36"/>
        <v>22948</v>
      </c>
    </row>
    <row r="144" spans="1:12" ht="33.75" x14ac:dyDescent="0.2">
      <c r="A144" s="8" t="s">
        <v>76</v>
      </c>
      <c r="B144" s="24">
        <f>SUM((B138*0.75)+(B139*0.75)+(B140*0.5)+(B141*0.5)+ (B142*1.5)+B143)</f>
        <v>0</v>
      </c>
      <c r="C144" s="24">
        <f t="shared" ref="C144:J144" si="37">SUM((C138*0.75)+(C139*0.75)+(C140*0.5)+(C141*0.5)+ (C142*1.5)+C143)</f>
        <v>842</v>
      </c>
      <c r="D144" s="24">
        <f t="shared" si="37"/>
        <v>3957.5</v>
      </c>
      <c r="E144" s="24">
        <f t="shared" si="37"/>
        <v>9758.75</v>
      </c>
      <c r="F144" s="24">
        <f t="shared" si="37"/>
        <v>9893.75</v>
      </c>
      <c r="G144" s="24">
        <f t="shared" si="37"/>
        <v>4812.5</v>
      </c>
      <c r="H144" s="24">
        <f t="shared" si="37"/>
        <v>2235.25</v>
      </c>
      <c r="I144" s="24">
        <f t="shared" si="37"/>
        <v>2747</v>
      </c>
      <c r="J144" s="24">
        <f t="shared" si="37"/>
        <v>350.75</v>
      </c>
      <c r="K144" s="54">
        <f>SUM(B144:J144)</f>
        <v>34597.5</v>
      </c>
    </row>
    <row r="145" spans="1:15" x14ac:dyDescent="0.2">
      <c r="A145" s="8" t="s">
        <v>77</v>
      </c>
      <c r="B145" s="26" t="s">
        <v>21</v>
      </c>
      <c r="C145" s="26" t="s">
        <v>22</v>
      </c>
      <c r="D145" s="27" t="s">
        <v>23</v>
      </c>
      <c r="E145" s="27" t="s">
        <v>24</v>
      </c>
      <c r="F145" s="27">
        <v>1</v>
      </c>
      <c r="G145" s="27" t="s">
        <v>25</v>
      </c>
      <c r="H145" s="27" t="s">
        <v>26</v>
      </c>
      <c r="I145" s="27" t="s">
        <v>27</v>
      </c>
      <c r="J145" s="27" t="s">
        <v>28</v>
      </c>
      <c r="K145" s="50"/>
    </row>
    <row r="146" spans="1:15" x14ac:dyDescent="0.2">
      <c r="A146" s="8"/>
      <c r="B146" s="26"/>
      <c r="C146" s="26"/>
      <c r="D146" s="27"/>
      <c r="E146" s="27"/>
      <c r="F146" s="27"/>
      <c r="G146" s="27"/>
      <c r="H146" s="27"/>
      <c r="I146" s="27"/>
      <c r="J146" s="27"/>
      <c r="K146" s="50"/>
    </row>
    <row r="147" spans="1:15" ht="15" x14ac:dyDescent="0.25">
      <c r="A147" s="8" t="s">
        <v>78</v>
      </c>
      <c r="B147" s="28">
        <f>ROUND(B144/9*5,2)</f>
        <v>0</v>
      </c>
      <c r="C147" s="28">
        <f>ROUND(C144/9*6,2)</f>
        <v>561.33000000000004</v>
      </c>
      <c r="D147" s="28">
        <f>ROUND(D144/9*7,2)</f>
        <v>3078.06</v>
      </c>
      <c r="E147" s="28">
        <f>ROUND(E144/9*8,2)</f>
        <v>8674.44</v>
      </c>
      <c r="F147" s="28">
        <f>ROUND(F144*F145,2)</f>
        <v>9893.75</v>
      </c>
      <c r="G147" s="28">
        <f>ROUND(G144/9*11,2)</f>
        <v>5881.94</v>
      </c>
      <c r="H147" s="28">
        <f>ROUND(H144/9*13,2)</f>
        <v>3228.69</v>
      </c>
      <c r="I147" s="28">
        <f>ROUND(I144/9*15,2)</f>
        <v>4578.33</v>
      </c>
      <c r="J147" s="28">
        <f>ROUND(J144/9*18,2)</f>
        <v>701.5</v>
      </c>
      <c r="K147" s="54">
        <f>SUM(B147:J147)</f>
        <v>36598.04</v>
      </c>
    </row>
    <row r="148" spans="1:15" ht="23.25" x14ac:dyDescent="0.25">
      <c r="A148" s="8" t="s">
        <v>89</v>
      </c>
      <c r="B148" s="55"/>
      <c r="C148" s="51"/>
      <c r="D148" s="51"/>
      <c r="E148" s="51"/>
      <c r="F148" s="51"/>
      <c r="G148" s="51"/>
      <c r="H148" s="51"/>
      <c r="I148" s="51"/>
      <c r="J148" s="51"/>
      <c r="K148" s="56">
        <v>0</v>
      </c>
    </row>
    <row r="149" spans="1:15" ht="23.25" x14ac:dyDescent="0.25">
      <c r="A149" s="8" t="s">
        <v>79</v>
      </c>
      <c r="B149" s="55"/>
      <c r="C149" s="51"/>
      <c r="D149" s="51"/>
      <c r="E149" s="51"/>
      <c r="F149" s="51"/>
      <c r="G149" s="51"/>
      <c r="H149" s="51"/>
      <c r="I149" s="51"/>
      <c r="J149" s="51"/>
      <c r="K149" s="54">
        <f>SUM(K147+K148)</f>
        <v>36598.04</v>
      </c>
    </row>
    <row r="150" spans="1:15" ht="16.5" thickBot="1" x14ac:dyDescent="0.3">
      <c r="A150" s="34" t="s">
        <v>90</v>
      </c>
      <c r="B150" s="57"/>
      <c r="C150" s="58"/>
      <c r="D150" s="58"/>
      <c r="E150" s="58"/>
      <c r="F150" s="58"/>
      <c r="G150" s="58"/>
      <c r="H150" s="58"/>
      <c r="I150" s="58"/>
      <c r="J150" s="58"/>
      <c r="K150" s="59">
        <f>SUM(K149/100*97.5)</f>
        <v>35683.089</v>
      </c>
      <c r="O150" s="41">
        <f>K50+K75+K100+K125+K150</f>
        <v>42658.707750000001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tabSelected="1" zoomScaleNormal="100" workbookViewId="0">
      <selection activeCell="M12" sqref="M12"/>
    </sheetView>
  </sheetViews>
  <sheetFormatPr defaultRowHeight="12.75" x14ac:dyDescent="0.2"/>
  <cols>
    <col min="1" max="1" width="42.140625" customWidth="1"/>
    <col min="2" max="2" width="7.140625" customWidth="1"/>
    <col min="3" max="3" width="9" customWidth="1"/>
    <col min="4" max="4" width="9.42578125" customWidth="1"/>
    <col min="5" max="5" width="10.7109375" customWidth="1"/>
    <col min="6" max="6" width="10.140625" customWidth="1"/>
    <col min="7" max="7" width="9" customWidth="1"/>
    <col min="8" max="9" width="8.7109375" customWidth="1"/>
    <col min="10" max="10" width="7.85546875" customWidth="1"/>
    <col min="11" max="11" width="9.85546875" customWidth="1"/>
    <col min="12" max="12" width="9.28515625" bestFit="1" customWidth="1"/>
  </cols>
  <sheetData>
    <row r="1" spans="1:13" ht="14.45" customHeight="1" x14ac:dyDescent="0.25">
      <c r="A1" s="1" t="s">
        <v>70</v>
      </c>
      <c r="D1" s="2" t="s">
        <v>32</v>
      </c>
    </row>
    <row r="2" spans="1:13" ht="16.149999999999999" customHeight="1" thickBot="1" x14ac:dyDescent="0.3">
      <c r="C2" s="1" t="s">
        <v>71</v>
      </c>
    </row>
    <row r="3" spans="1:13" ht="15.75" customHeight="1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</row>
    <row r="4" spans="1:13" ht="13.15" customHeight="1" x14ac:dyDescent="0.2">
      <c r="A4" s="8" t="s">
        <v>34</v>
      </c>
      <c r="B4" s="45"/>
      <c r="C4" s="90">
        <v>2441</v>
      </c>
      <c r="D4" s="90">
        <v>9169</v>
      </c>
      <c r="E4" s="90">
        <v>18800</v>
      </c>
      <c r="F4" s="90">
        <v>15715</v>
      </c>
      <c r="G4" s="90">
        <v>6849</v>
      </c>
      <c r="H4" s="90">
        <v>2792</v>
      </c>
      <c r="I4" s="90">
        <v>3216</v>
      </c>
      <c r="J4" s="90">
        <v>579</v>
      </c>
      <c r="K4" s="87">
        <f>SUM(B4:J4)</f>
        <v>59561</v>
      </c>
    </row>
    <row r="5" spans="1:13" ht="11.45" customHeight="1" x14ac:dyDescent="0.2">
      <c r="A5" s="8" t="s">
        <v>121</v>
      </c>
      <c r="B5" s="45"/>
      <c r="C5" s="91">
        <v>3</v>
      </c>
      <c r="D5" s="91">
        <v>13</v>
      </c>
      <c r="E5" s="91">
        <v>26</v>
      </c>
      <c r="F5" s="91">
        <v>22</v>
      </c>
      <c r="G5" s="91">
        <v>10</v>
      </c>
      <c r="H5" s="91">
        <v>4</v>
      </c>
      <c r="I5" s="91">
        <v>4</v>
      </c>
      <c r="J5" s="91">
        <v>1</v>
      </c>
      <c r="K5" s="92">
        <f>SUM(C5:J5)</f>
        <v>83</v>
      </c>
    </row>
    <row r="6" spans="1:13" ht="11.45" customHeight="1" x14ac:dyDescent="0.2">
      <c r="A6" s="8" t="s">
        <v>122</v>
      </c>
      <c r="B6" s="45"/>
      <c r="C6" s="93">
        <v>28</v>
      </c>
      <c r="D6" s="93">
        <v>107</v>
      </c>
      <c r="E6" s="93">
        <v>221</v>
      </c>
      <c r="F6" s="93">
        <v>185</v>
      </c>
      <c r="G6" s="93">
        <v>80</v>
      </c>
      <c r="H6" s="93">
        <v>33</v>
      </c>
      <c r="I6" s="93">
        <v>38</v>
      </c>
      <c r="J6" s="93">
        <v>7</v>
      </c>
      <c r="K6" s="87">
        <f>SUM(B6:J6)</f>
        <v>699</v>
      </c>
    </row>
    <row r="7" spans="1:13" ht="12" customHeight="1" x14ac:dyDescent="0.2">
      <c r="A7" s="8" t="s">
        <v>84</v>
      </c>
      <c r="B7" s="45"/>
      <c r="C7" s="90">
        <v>468</v>
      </c>
      <c r="D7" s="90">
        <v>765</v>
      </c>
      <c r="E7" s="90">
        <v>1166</v>
      </c>
      <c r="F7" s="90">
        <v>1801</v>
      </c>
      <c r="G7" s="90">
        <v>1033</v>
      </c>
      <c r="H7" s="90">
        <v>240</v>
      </c>
      <c r="I7" s="90">
        <v>235</v>
      </c>
      <c r="J7" s="90">
        <v>206</v>
      </c>
      <c r="K7" s="87">
        <f>SUM(C7:J7)</f>
        <v>5914</v>
      </c>
      <c r="L7" s="12"/>
      <c r="M7" s="12"/>
    </row>
    <row r="8" spans="1:13" ht="21.75" customHeight="1" x14ac:dyDescent="0.2">
      <c r="A8" s="8" t="s">
        <v>119</v>
      </c>
      <c r="B8" s="45"/>
      <c r="C8" s="94">
        <v>557</v>
      </c>
      <c r="D8" s="94">
        <v>2346</v>
      </c>
      <c r="E8" s="94">
        <v>2877</v>
      </c>
      <c r="F8" s="94">
        <v>1000</v>
      </c>
      <c r="G8" s="94">
        <v>257</v>
      </c>
      <c r="H8" s="94">
        <v>27</v>
      </c>
      <c r="I8" s="94">
        <v>14.7</v>
      </c>
      <c r="J8" s="94">
        <v>0.45</v>
      </c>
      <c r="K8" s="87">
        <f>SUM(C8:J8)</f>
        <v>7079.15</v>
      </c>
      <c r="L8" s="12"/>
    </row>
    <row r="9" spans="1:13" ht="24.75" customHeight="1" x14ac:dyDescent="0.2">
      <c r="A9" s="8" t="s">
        <v>123</v>
      </c>
      <c r="B9" s="45"/>
      <c r="C9" s="95">
        <f>C4+C5+C6-C7-C8</f>
        <v>1447</v>
      </c>
      <c r="D9" s="95">
        <f t="shared" ref="D9:J9" si="0">D4+D5+D6-D7-D8</f>
        <v>6178</v>
      </c>
      <c r="E9" s="95">
        <f t="shared" si="0"/>
        <v>15004</v>
      </c>
      <c r="F9" s="95">
        <f t="shared" si="0"/>
        <v>13121</v>
      </c>
      <c r="G9" s="95">
        <f t="shared" si="0"/>
        <v>5649</v>
      </c>
      <c r="H9" s="95">
        <f t="shared" si="0"/>
        <v>2562</v>
      </c>
      <c r="I9" s="95">
        <f t="shared" si="0"/>
        <v>3008.3</v>
      </c>
      <c r="J9" s="95">
        <f t="shared" si="0"/>
        <v>380.55</v>
      </c>
      <c r="K9" s="87">
        <f>K4+K5+K6-K7-K8</f>
        <v>47349.85</v>
      </c>
      <c r="L9" s="12"/>
    </row>
    <row r="10" spans="1:13" ht="22.9" customHeight="1" x14ac:dyDescent="0.2">
      <c r="A10" s="8" t="s">
        <v>86</v>
      </c>
      <c r="B10" s="45"/>
      <c r="C10" s="95">
        <v>2</v>
      </c>
      <c r="D10" s="95">
        <v>20</v>
      </c>
      <c r="E10" s="95">
        <v>77</v>
      </c>
      <c r="F10" s="95">
        <v>67</v>
      </c>
      <c r="G10" s="95">
        <v>29</v>
      </c>
      <c r="H10" s="95">
        <v>13</v>
      </c>
      <c r="I10" s="95">
        <v>16</v>
      </c>
      <c r="J10" s="95">
        <v>8</v>
      </c>
      <c r="K10" s="87">
        <f>SUM(C10:J10)</f>
        <v>232</v>
      </c>
    </row>
    <row r="11" spans="1:13" ht="23.45" customHeight="1" x14ac:dyDescent="0.2">
      <c r="A11" s="8" t="s">
        <v>124</v>
      </c>
      <c r="B11" s="95">
        <f t="shared" ref="B11:I11" si="1">C10</f>
        <v>2</v>
      </c>
      <c r="C11" s="95">
        <f t="shared" si="1"/>
        <v>20</v>
      </c>
      <c r="D11" s="95">
        <f t="shared" si="1"/>
        <v>77</v>
      </c>
      <c r="E11" s="95">
        <f t="shared" si="1"/>
        <v>67</v>
      </c>
      <c r="F11" s="95">
        <f t="shared" si="1"/>
        <v>29</v>
      </c>
      <c r="G11" s="95">
        <f t="shared" si="1"/>
        <v>13</v>
      </c>
      <c r="H11" s="95">
        <f t="shared" si="1"/>
        <v>16</v>
      </c>
      <c r="I11" s="95">
        <f t="shared" si="1"/>
        <v>8</v>
      </c>
      <c r="J11" s="96"/>
      <c r="K11" s="87">
        <f>SUM(B11:I11)</f>
        <v>232</v>
      </c>
    </row>
    <row r="12" spans="1:13" ht="25.15" customHeight="1" x14ac:dyDescent="0.2">
      <c r="A12" s="8" t="s">
        <v>125</v>
      </c>
      <c r="B12" s="95">
        <f t="shared" ref="B12:K12" si="2">SUM(B9-B10+B11)</f>
        <v>2</v>
      </c>
      <c r="C12" s="97">
        <f t="shared" si="2"/>
        <v>1465</v>
      </c>
      <c r="D12" s="97">
        <f t="shared" si="2"/>
        <v>6235</v>
      </c>
      <c r="E12" s="97">
        <f t="shared" si="2"/>
        <v>14994</v>
      </c>
      <c r="F12" s="97">
        <f t="shared" si="2"/>
        <v>13083</v>
      </c>
      <c r="G12" s="97">
        <f t="shared" si="2"/>
        <v>5633</v>
      </c>
      <c r="H12" s="97">
        <f t="shared" si="2"/>
        <v>2565</v>
      </c>
      <c r="I12" s="97">
        <f t="shared" si="2"/>
        <v>3000.3</v>
      </c>
      <c r="J12" s="97">
        <f t="shared" si="2"/>
        <v>372.55</v>
      </c>
      <c r="K12" s="98">
        <f t="shared" si="2"/>
        <v>47349.85</v>
      </c>
      <c r="L12" s="12"/>
    </row>
    <row r="13" spans="1:13" s="12" customFormat="1" ht="34.5" customHeight="1" x14ac:dyDescent="0.2">
      <c r="A13" s="104" t="s">
        <v>120</v>
      </c>
      <c r="B13" s="95">
        <v>0</v>
      </c>
      <c r="C13" s="93">
        <v>0</v>
      </c>
      <c r="D13" s="93">
        <v>4</v>
      </c>
      <c r="E13" s="93">
        <v>16</v>
      </c>
      <c r="F13" s="93">
        <v>27</v>
      </c>
      <c r="G13" s="93">
        <v>15</v>
      </c>
      <c r="H13" s="93">
        <v>7</v>
      </c>
      <c r="I13" s="93">
        <v>14</v>
      </c>
      <c r="J13" s="93">
        <v>2</v>
      </c>
      <c r="K13" s="98">
        <f>SUM(B13:J13)</f>
        <v>85</v>
      </c>
    </row>
    <row r="14" spans="1:13" ht="22.15" customHeight="1" x14ac:dyDescent="0.2">
      <c r="A14" s="8" t="s">
        <v>87</v>
      </c>
      <c r="B14" s="95">
        <v>0</v>
      </c>
      <c r="C14" s="95">
        <v>1285</v>
      </c>
      <c r="D14" s="95">
        <v>4660</v>
      </c>
      <c r="E14" s="95">
        <v>5813</v>
      </c>
      <c r="F14" s="95">
        <v>4165</v>
      </c>
      <c r="G14" s="95">
        <v>1619</v>
      </c>
      <c r="H14" s="95">
        <v>588</v>
      </c>
      <c r="I14" s="95">
        <v>496</v>
      </c>
      <c r="J14" s="95">
        <f>26+1</f>
        <v>27</v>
      </c>
      <c r="K14" s="98">
        <f>SUM(B14:J14)</f>
        <v>18653</v>
      </c>
      <c r="L14" s="12"/>
    </row>
    <row r="15" spans="1:13" s="12" customFormat="1" ht="22.9" customHeight="1" x14ac:dyDescent="0.2">
      <c r="A15" s="8" t="s">
        <v>88</v>
      </c>
      <c r="B15" s="95">
        <v>0</v>
      </c>
      <c r="C15" s="97">
        <v>2</v>
      </c>
      <c r="D15" s="97">
        <v>14</v>
      </c>
      <c r="E15" s="97">
        <v>38</v>
      </c>
      <c r="F15" s="97">
        <v>30</v>
      </c>
      <c r="G15" s="97">
        <v>18</v>
      </c>
      <c r="H15" s="97">
        <v>15</v>
      </c>
      <c r="I15" s="97">
        <v>30</v>
      </c>
      <c r="J15" s="97">
        <v>16</v>
      </c>
      <c r="K15" s="98">
        <f>SUM(B15:J15)</f>
        <v>163</v>
      </c>
    </row>
    <row r="16" spans="1:13" ht="12.6" customHeight="1" x14ac:dyDescent="0.2">
      <c r="A16" s="8" t="s">
        <v>126</v>
      </c>
      <c r="B16" s="95">
        <v>0</v>
      </c>
      <c r="C16" s="97">
        <f t="shared" ref="C16:J16" si="3">C6</f>
        <v>28</v>
      </c>
      <c r="D16" s="97">
        <f t="shared" si="3"/>
        <v>107</v>
      </c>
      <c r="E16" s="97">
        <f t="shared" si="3"/>
        <v>221</v>
      </c>
      <c r="F16" s="97">
        <f t="shared" si="3"/>
        <v>185</v>
      </c>
      <c r="G16" s="97">
        <f t="shared" si="3"/>
        <v>80</v>
      </c>
      <c r="H16" s="97">
        <f t="shared" si="3"/>
        <v>33</v>
      </c>
      <c r="I16" s="97">
        <f t="shared" si="3"/>
        <v>38</v>
      </c>
      <c r="J16" s="97">
        <f t="shared" si="3"/>
        <v>7</v>
      </c>
      <c r="K16" s="98">
        <f>SUM(B16:J16)</f>
        <v>699</v>
      </c>
    </row>
    <row r="17" spans="1:13" ht="16.5" customHeight="1" x14ac:dyDescent="0.2">
      <c r="A17" s="8" t="s">
        <v>134</v>
      </c>
      <c r="B17" s="95">
        <v>0</v>
      </c>
      <c r="C17" s="97">
        <v>5</v>
      </c>
      <c r="D17" s="97">
        <v>18</v>
      </c>
      <c r="E17" s="97">
        <v>18</v>
      </c>
      <c r="F17" s="97">
        <v>17</v>
      </c>
      <c r="G17" s="97">
        <v>10</v>
      </c>
      <c r="H17" s="97">
        <v>2</v>
      </c>
      <c r="I17" s="97">
        <v>5</v>
      </c>
      <c r="J17" s="97">
        <v>1</v>
      </c>
      <c r="K17" s="98">
        <f>SUM(B17:J17)</f>
        <v>76</v>
      </c>
    </row>
    <row r="18" spans="1:13" ht="22.9" customHeight="1" x14ac:dyDescent="0.2">
      <c r="A18" s="8" t="s">
        <v>127</v>
      </c>
      <c r="B18" s="95">
        <f>B12-B13-B14-B15-B16-B17</f>
        <v>2</v>
      </c>
      <c r="C18" s="95">
        <f>C12-C13-C14-C15-C16-C17</f>
        <v>145</v>
      </c>
      <c r="D18" s="95">
        <f t="shared" ref="D18:J18" si="4">D12-D13-D14-D15-D16-D17</f>
        <v>1432</v>
      </c>
      <c r="E18" s="95">
        <f t="shared" si="4"/>
        <v>8888</v>
      </c>
      <c r="F18" s="95">
        <f t="shared" si="4"/>
        <v>8659</v>
      </c>
      <c r="G18" s="95">
        <f t="shared" si="4"/>
        <v>3891</v>
      </c>
      <c r="H18" s="95">
        <f t="shared" si="4"/>
        <v>1920</v>
      </c>
      <c r="I18" s="95">
        <f t="shared" si="4"/>
        <v>2417.3000000000002</v>
      </c>
      <c r="J18" s="95">
        <f t="shared" si="4"/>
        <v>319.55</v>
      </c>
      <c r="K18" s="98">
        <f t="shared" ref="K18" si="5">SUM(K12-K13-K14-K15-K16-K17)</f>
        <v>27673.85</v>
      </c>
      <c r="L18" s="12"/>
    </row>
    <row r="19" spans="1:13" ht="34.9" customHeight="1" x14ac:dyDescent="0.2">
      <c r="A19" s="8" t="s">
        <v>128</v>
      </c>
      <c r="B19" s="95">
        <f>SUM((B13*0.75)+(B14*0.75)+(B15*0.5)+(B16*0.5)+ (B17*1.5)+B18)</f>
        <v>2</v>
      </c>
      <c r="C19" s="95">
        <f t="shared" ref="C19:H19" si="6">SUM((C13*0.75)+(C14*0.75)+(C15*0.5)+(C16*0.5)+ (C17*1.5)+C18)</f>
        <v>1131.25</v>
      </c>
      <c r="D19" s="95">
        <f t="shared" si="6"/>
        <v>5017.5</v>
      </c>
      <c r="E19" s="95">
        <f t="shared" si="6"/>
        <v>13416.25</v>
      </c>
      <c r="F19" s="95">
        <f t="shared" si="6"/>
        <v>11936</v>
      </c>
      <c r="G19" s="95">
        <f t="shared" si="6"/>
        <v>5180.5</v>
      </c>
      <c r="H19" s="95">
        <f t="shared" si="6"/>
        <v>2393.25</v>
      </c>
      <c r="I19" s="95">
        <v>2841</v>
      </c>
      <c r="J19" s="95">
        <v>354.75</v>
      </c>
      <c r="K19" s="87">
        <f>SUM(B19:J19)</f>
        <v>42272.5</v>
      </c>
    </row>
    <row r="20" spans="1:13" ht="13.15" customHeight="1" x14ac:dyDescent="0.2">
      <c r="A20" s="8" t="s">
        <v>129</v>
      </c>
      <c r="B20" s="89" t="s">
        <v>21</v>
      </c>
      <c r="C20" s="101" t="s">
        <v>22</v>
      </c>
      <c r="D20" s="101" t="s">
        <v>23</v>
      </c>
      <c r="E20" s="101" t="s">
        <v>24</v>
      </c>
      <c r="F20" s="101">
        <v>1</v>
      </c>
      <c r="G20" s="101" t="s">
        <v>25</v>
      </c>
      <c r="H20" s="101" t="s">
        <v>26</v>
      </c>
      <c r="I20" s="101" t="s">
        <v>27</v>
      </c>
      <c r="J20" s="101" t="s">
        <v>28</v>
      </c>
      <c r="K20" s="87"/>
    </row>
    <row r="21" spans="1:13" ht="3.6" hidden="1" customHeight="1" x14ac:dyDescent="0.2">
      <c r="A21" s="8"/>
      <c r="B21" s="26"/>
      <c r="C21" s="99"/>
      <c r="D21" s="99"/>
      <c r="E21" s="99"/>
      <c r="F21" s="99"/>
      <c r="G21" s="99"/>
      <c r="H21" s="99"/>
      <c r="I21" s="99"/>
      <c r="J21" s="99"/>
      <c r="K21" s="87"/>
    </row>
    <row r="22" spans="1:13" ht="17.45" customHeight="1" x14ac:dyDescent="0.25">
      <c r="A22" s="8" t="s">
        <v>133</v>
      </c>
      <c r="B22" s="100">
        <f>ROUND(B19/9*5,2)</f>
        <v>1.1100000000000001</v>
      </c>
      <c r="C22" s="100">
        <f>ROUND(C19/9*6,2)</f>
        <v>754.17</v>
      </c>
      <c r="D22" s="100">
        <f>ROUND(D19/9*7,2)</f>
        <v>3902.5</v>
      </c>
      <c r="E22" s="100">
        <f>ROUND(E19/9*8,2)</f>
        <v>11925.56</v>
      </c>
      <c r="F22" s="100">
        <f>ROUND(F19*F20,2)</f>
        <v>11936</v>
      </c>
      <c r="G22" s="100">
        <f>ROUND(G19/9*11,2)</f>
        <v>6331.72</v>
      </c>
      <c r="H22" s="100">
        <f>ROUND(H19/9*13,2)</f>
        <v>3456.92</v>
      </c>
      <c r="I22" s="100">
        <f>ROUND(I19/9*15,2)</f>
        <v>4735</v>
      </c>
      <c r="J22" s="100">
        <f>ROUND(J19/9*18,2)</f>
        <v>709.5</v>
      </c>
      <c r="K22" s="87">
        <f>SUM(B22:J22)</f>
        <v>43752.479999999996</v>
      </c>
      <c r="M22" s="2"/>
    </row>
    <row r="23" spans="1:13" ht="25.15" customHeight="1" x14ac:dyDescent="0.25">
      <c r="A23" s="8" t="s">
        <v>130</v>
      </c>
      <c r="B23" s="55"/>
      <c r="C23" s="51"/>
      <c r="D23" s="51"/>
      <c r="E23" s="51"/>
      <c r="F23" s="51"/>
      <c r="G23" s="51"/>
      <c r="H23" s="51"/>
      <c r="I23" s="51"/>
      <c r="J23" s="51"/>
      <c r="K23" s="88">
        <v>0</v>
      </c>
      <c r="L23" s="32"/>
    </row>
    <row r="24" spans="1:13" ht="24.6" customHeight="1" x14ac:dyDescent="0.25">
      <c r="A24" s="8" t="s">
        <v>131</v>
      </c>
      <c r="B24" s="55"/>
      <c r="C24" s="51"/>
      <c r="D24" s="51"/>
      <c r="E24" s="51"/>
      <c r="F24" s="51"/>
      <c r="G24" s="51"/>
      <c r="H24" s="51"/>
      <c r="I24" s="51"/>
      <c r="J24" s="51"/>
      <c r="K24" s="87">
        <f>SUM(K22+K23)</f>
        <v>43752.479999999996</v>
      </c>
      <c r="M24" s="33"/>
    </row>
    <row r="25" spans="1:13" ht="15.6" customHeight="1" thickBot="1" x14ac:dyDescent="0.3">
      <c r="A25" s="34" t="s">
        <v>132</v>
      </c>
      <c r="B25" s="57"/>
      <c r="C25" s="58"/>
      <c r="D25" s="58"/>
      <c r="E25" s="58"/>
      <c r="F25" s="58"/>
      <c r="G25" s="58"/>
      <c r="H25" s="58"/>
      <c r="I25" s="58"/>
      <c r="J25" s="58"/>
      <c r="K25" s="59">
        <f>SUM(K24/100*97.5)</f>
        <v>42658.667999999998</v>
      </c>
      <c r="M25" s="33"/>
    </row>
    <row r="26" spans="1:13" x14ac:dyDescent="0.2">
      <c r="F26" s="32"/>
      <c r="G26" s="37"/>
      <c r="H26" s="33"/>
      <c r="J26" s="33"/>
      <c r="K26" s="60"/>
    </row>
    <row r="27" spans="1:13" x14ac:dyDescent="0.2">
      <c r="A27" s="105" t="s">
        <v>114</v>
      </c>
    </row>
    <row r="28" spans="1:13" x14ac:dyDescent="0.2">
      <c r="A28" s="103" t="s">
        <v>135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x14ac:dyDescent="0.2">
      <c r="A29" s="103" t="s">
        <v>115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3" x14ac:dyDescent="0.2">
      <c r="A30" s="103" t="s">
        <v>116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3" x14ac:dyDescent="0.2">
      <c r="A31" s="103" t="s">
        <v>117</v>
      </c>
      <c r="B31" s="62"/>
      <c r="C31" s="62"/>
      <c r="D31" s="62"/>
      <c r="E31" s="62"/>
      <c r="F31" s="62"/>
      <c r="G31" s="62"/>
      <c r="H31" s="62"/>
      <c r="I31" s="62"/>
      <c r="J31" s="62"/>
    </row>
    <row r="32" spans="1:13" x14ac:dyDescent="0.2">
      <c r="A32" s="103" t="s">
        <v>118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152" spans="1:1" x14ac:dyDescent="0.2">
      <c r="A152" s="102"/>
    </row>
    <row r="153" spans="1:1" x14ac:dyDescent="0.2">
      <c r="A153" s="102"/>
    </row>
  </sheetData>
  <pageMargins left="0.75" right="0.75" top="1" bottom="1" header="0.5" footer="0.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Littlemore</vt:lpstr>
      <vt:lpstr>Old Marston</vt:lpstr>
      <vt:lpstr>Risinghurst &amp; S</vt:lpstr>
      <vt:lpstr>Blackbird Leys</vt:lpstr>
      <vt:lpstr>OXFORD CITY COUNCIL</vt:lpstr>
      <vt:lpstr>Unparished area</vt:lpstr>
      <vt:lpstr>Tax Bases</vt:lpstr>
      <vt:lpstr>Appendices 1 and 2 for report</vt:lpstr>
      <vt:lpstr>Appendix 1 </vt:lpstr>
      <vt:lpstr>Appendices 1 and 2 151114</vt:lpstr>
      <vt:lpstr>Appendices 1 and 2 221114</vt:lpstr>
      <vt:lpstr>Appendices 1 and 2 291114</vt:lpstr>
      <vt:lpstr>NEW FORMAT 221114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Wood</dc:creator>
  <cp:lastModifiedBy>Adrian Wood</cp:lastModifiedBy>
  <cp:lastPrinted>2014-12-05T07:31:03Z</cp:lastPrinted>
  <dcterms:created xsi:type="dcterms:W3CDTF">2014-11-11T11:12:40Z</dcterms:created>
  <dcterms:modified xsi:type="dcterms:W3CDTF">2014-12-05T07:31:11Z</dcterms:modified>
</cp:coreProperties>
</file>